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omments14.xml" ContentType="application/vnd.openxmlformats-officedocument.spreadsheetml.comments+xml"/>
  <Override PartName="/xl/comments1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churilova\Desktop\Чурилова\Реестр ППС кафедр\Реестр ППС_29.09.2025\"/>
    </mc:Choice>
  </mc:AlternateContent>
  <bookViews>
    <workbookView xWindow="0" yWindow="0" windowWidth="28800" windowHeight="11835" tabRatio="886" firstSheet="11" activeTab="11"/>
  </bookViews>
  <sheets>
    <sheet name="ТИТУЛ" sheetId="11" state="hidden" r:id="rId1"/>
    <sheet name="КАФЕДРА" sheetId="1" state="hidden" r:id="rId2"/>
    <sheet name="ИНСТИТУТ (СУММА КАФЕДР)" sheetId="17" state="hidden" r:id="rId3"/>
    <sheet name="Кадры" sheetId="32" state="hidden" r:id="rId4"/>
    <sheet name="МероприятияВуза" sheetId="14" state="hidden" r:id="rId5"/>
    <sheet name="ПрофРабота" sheetId="13" state="hidden" r:id="rId6"/>
    <sheet name="ДПО(Финансы)" sheetId="29" state="hidden" r:id="rId7"/>
    <sheet name="ИДО(Финансы)" sheetId="30" state="hidden" r:id="rId8"/>
    <sheet name="НУ(Финансы)" sheetId="28" state="hidden" r:id="rId9"/>
    <sheet name="НУ(Публикации)" sheetId="15" state="hidden" r:id="rId10"/>
    <sheet name="НУ(ВИД3)" sheetId="24" state="hidden" r:id="rId11"/>
    <sheet name="Реестр ППС" sheetId="44" r:id="rId12"/>
    <sheet name="«ВУЗ-РЕГИОН»(кафедры)" sheetId="48" state="hidden" r:id="rId13"/>
    <sheet name=" &quot;Вуз зож&quot;" sheetId="45" state="hidden" r:id="rId14"/>
    <sheet name=" &quot;Вуз зож&quot; (кафедры)" sheetId="49" state="hidden" r:id="rId15"/>
    <sheet name="ИНСТИТУТ" sheetId="16" state="hidden" r:id="rId16"/>
    <sheet name="+ИНСТИТУТ" sheetId="37" state="hidden" r:id="rId17"/>
    <sheet name="ИНСТИТУТ (КАФЕДРЫ)" sheetId="18" state="hidden" r:id="rId18"/>
    <sheet name="сумма70+30" sheetId="19" state="hidden" r:id="rId19"/>
    <sheet name="ППС" sheetId="10" state="hidden" r:id="rId20"/>
  </sheets>
  <externalReferences>
    <externalReference r:id="rId21"/>
  </externalReferences>
  <definedNames>
    <definedName name="_xlnm._FilterDatabase" localSheetId="15" hidden="1">ИНСТИТУТ!#REF!</definedName>
    <definedName name="_xlnm._FilterDatabase" localSheetId="17" hidden="1">'ИНСТИТУТ (КАФЕДРЫ)'!$T$6:$W$113</definedName>
    <definedName name="_xlnm._FilterDatabase" localSheetId="2" hidden="1">'ИНСТИТУТ (СУММА КАФЕДР)'!#REF!</definedName>
    <definedName name="_xlnm._FilterDatabase" localSheetId="1" hidden="1">КАФЕДРА!#REF!</definedName>
    <definedName name="_xlnm._FilterDatabase" localSheetId="11" hidden="1">'Реестр ППС'!$A$9:$D$311</definedName>
    <definedName name="ДаНет">ППС!$D$2:$D$3</definedName>
    <definedName name="Должность">ППС!$A$2:$A$8</definedName>
    <definedName name="_xlnm.Print_Titles" localSheetId="13">' "Вуз зож"'!$A:$A</definedName>
    <definedName name="_xlnm.Print_Titles" localSheetId="14">' "Вуз зож" (кафедры)'!$A:$A</definedName>
    <definedName name="_xlnm.Print_Titles" localSheetId="12">'«ВУЗ-РЕГИОН»(кафедры)'!$A:$A</definedName>
    <definedName name="_xlnm.Print_Titles" localSheetId="6">'ДПО(Финансы)'!$A:$A</definedName>
    <definedName name="_xlnm.Print_Titles" localSheetId="7">'ИДО(Финансы)'!$A:$A</definedName>
    <definedName name="_xlnm.Print_Titles" localSheetId="15">ИНСТИТУТ!$A:$C,ИНСТИТУТ!$8:$10</definedName>
    <definedName name="_xlnm.Print_Titles" localSheetId="17">'ИНСТИТУТ (КАФЕДРЫ)'!$C:$C,'ИНСТИТУТ (КАФЕДРЫ)'!$4:$6</definedName>
    <definedName name="_xlnm.Print_Titles" localSheetId="2">'ИНСТИТУТ (СУММА КАФЕДР)'!$A:$C,'ИНСТИТУТ (СУММА КАФЕДР)'!$8:$10</definedName>
    <definedName name="_xlnm.Print_Titles" localSheetId="3">Кадры!$A:$A</definedName>
    <definedName name="_xlnm.Print_Titles" localSheetId="1">КАФЕДРА!$A:$C,КАФЕДРА!$8:$10</definedName>
    <definedName name="_xlnm.Print_Titles" localSheetId="4">МероприятияВуза!$A:$A,МероприятияВуза!$13:$13</definedName>
    <definedName name="_xlnm.Print_Titles" localSheetId="10">'НУ(ВИД3)'!$9:$14</definedName>
    <definedName name="_xlnm.Print_Titles" localSheetId="9">'НУ(Публикации)'!$A:$A</definedName>
    <definedName name="_xlnm.Print_Titles" localSheetId="8">'НУ(Финансы)'!$A:$A</definedName>
    <definedName name="_xlnm.Print_Titles" localSheetId="11">'Реестр ППС'!$A:$A</definedName>
    <definedName name="нет">ППС!$F$2</definedName>
    <definedName name="_xlnm.Print_Area" localSheetId="15">ИНСТИТУТ!$A$1:$BG$32</definedName>
    <definedName name="_xlnm.Print_Area" localSheetId="17">'ИНСТИТУТ (КАФЕДРЫ)'!$C$3:$P$116</definedName>
    <definedName name="_xlnm.Print_Area" localSheetId="2">'ИНСТИТУТ (СУММА КАФЕДР)'!$A$1:$AQ$32</definedName>
    <definedName name="_xlnm.Print_Area" localSheetId="1">КАФЕДРА!$A$1:$CA$75</definedName>
    <definedName name="_xlnm.Print_Area" localSheetId="11">'Реестр ППС'!$A$1:$D$311</definedName>
    <definedName name="Подразделения">[1]Отделы!$C$4:$C$79</definedName>
    <definedName name="ППСшт">ППС!$A$2:$B$8</definedName>
  </definedNames>
  <calcPr calcId="152511"/>
</workbook>
</file>

<file path=xl/calcChain.xml><?xml version="1.0" encoding="utf-8"?>
<calcChain xmlns="http://schemas.openxmlformats.org/spreadsheetml/2006/main">
  <c r="BV142" i="16" l="1"/>
  <c r="BZ142" i="16"/>
  <c r="CA142" i="16"/>
  <c r="BY140" i="16"/>
  <c r="BY142" i="16" s="1"/>
  <c r="BZ140" i="16"/>
  <c r="CA140" i="16"/>
  <c r="BP140" i="16"/>
  <c r="BP142" i="16" s="1"/>
  <c r="BQ140" i="16"/>
  <c r="BQ142" i="16" s="1"/>
  <c r="BR140" i="16"/>
  <c r="BS140" i="16"/>
  <c r="BS142" i="16" s="1"/>
  <c r="BT140" i="16"/>
  <c r="BT142" i="16" s="1"/>
  <c r="BU140" i="16"/>
  <c r="BU142" i="16" s="1"/>
  <c r="BV140" i="16"/>
  <c r="BW140" i="16"/>
  <c r="BW142" i="16" s="1"/>
  <c r="BX140" i="16"/>
  <c r="BX142" i="16" s="1"/>
  <c r="Q47" i="24" l="1"/>
  <c r="E47" i="24" s="1"/>
  <c r="CR46" i="1" s="1"/>
  <c r="Q55" i="24"/>
  <c r="E55" i="24" s="1"/>
  <c r="CR54" i="1" s="1"/>
  <c r="Q63" i="24"/>
  <c r="E63" i="24" s="1"/>
  <c r="CR62" i="1" s="1"/>
  <c r="Q73" i="24"/>
  <c r="E73" i="24" s="1"/>
  <c r="CR72" i="1" s="1"/>
  <c r="E20" i="24"/>
  <c r="CR19" i="1" s="1"/>
  <c r="H10" i="24"/>
  <c r="I10" i="24"/>
  <c r="J10" i="24"/>
  <c r="G10" i="24"/>
  <c r="L45" i="24"/>
  <c r="Q45" i="24" s="1"/>
  <c r="E45" i="24" s="1"/>
  <c r="CR44" i="1" s="1"/>
  <c r="L46" i="24"/>
  <c r="Q46" i="24" s="1"/>
  <c r="E46" i="24" s="1"/>
  <c r="CR45" i="1" s="1"/>
  <c r="L47" i="24"/>
  <c r="L48" i="24"/>
  <c r="Q48" i="24" s="1"/>
  <c r="E48" i="24" s="1"/>
  <c r="CR47" i="1" s="1"/>
  <c r="L49" i="24"/>
  <c r="Q49" i="24" s="1"/>
  <c r="E49" i="24" s="1"/>
  <c r="CR48" i="1" s="1"/>
  <c r="L50" i="24"/>
  <c r="Q50" i="24" s="1"/>
  <c r="E50" i="24" s="1"/>
  <c r="CR49" i="1" s="1"/>
  <c r="L51" i="24"/>
  <c r="Q51" i="24" s="1"/>
  <c r="E51" i="24" s="1"/>
  <c r="CR50" i="1" s="1"/>
  <c r="L52" i="24"/>
  <c r="Q52" i="24" s="1"/>
  <c r="E52" i="24" s="1"/>
  <c r="CR51" i="1" s="1"/>
  <c r="L53" i="24"/>
  <c r="Q53" i="24" s="1"/>
  <c r="E53" i="24" s="1"/>
  <c r="CR52" i="1" s="1"/>
  <c r="L54" i="24"/>
  <c r="Q54" i="24" s="1"/>
  <c r="E54" i="24" s="1"/>
  <c r="CR53" i="1" s="1"/>
  <c r="L55" i="24"/>
  <c r="L56" i="24"/>
  <c r="Q56" i="24" s="1"/>
  <c r="E56" i="24" s="1"/>
  <c r="CR55" i="1" s="1"/>
  <c r="L57" i="24"/>
  <c r="Q57" i="24" s="1"/>
  <c r="E57" i="24" s="1"/>
  <c r="CR56" i="1" s="1"/>
  <c r="L58" i="24"/>
  <c r="Q58" i="24" s="1"/>
  <c r="E58" i="24" s="1"/>
  <c r="CR57" i="1" s="1"/>
  <c r="L59" i="24"/>
  <c r="Q59" i="24" s="1"/>
  <c r="E59" i="24" s="1"/>
  <c r="CR58" i="1" s="1"/>
  <c r="L60" i="24"/>
  <c r="Q60" i="24" s="1"/>
  <c r="E60" i="24" s="1"/>
  <c r="CR59" i="1" s="1"/>
  <c r="L61" i="24"/>
  <c r="Q61" i="24" s="1"/>
  <c r="E61" i="24" s="1"/>
  <c r="CR60" i="1" s="1"/>
  <c r="L62" i="24"/>
  <c r="Q62" i="24" s="1"/>
  <c r="E62" i="24" s="1"/>
  <c r="CR61" i="1" s="1"/>
  <c r="L63" i="24"/>
  <c r="L64" i="24"/>
  <c r="Q64" i="24" s="1"/>
  <c r="E64" i="24" s="1"/>
  <c r="CR63" i="1" s="1"/>
  <c r="L65" i="24"/>
  <c r="Q65" i="24" s="1"/>
  <c r="E65" i="24" s="1"/>
  <c r="CR64" i="1" s="1"/>
  <c r="L66" i="24"/>
  <c r="Q66" i="24" s="1"/>
  <c r="E66" i="24" s="1"/>
  <c r="CR65" i="1" s="1"/>
  <c r="L67" i="24"/>
  <c r="Q67" i="24" s="1"/>
  <c r="E67" i="24" s="1"/>
  <c r="CR66" i="1" s="1"/>
  <c r="L68" i="24"/>
  <c r="Q68" i="24" s="1"/>
  <c r="E68" i="24" s="1"/>
  <c r="CR67" i="1" s="1"/>
  <c r="L69" i="24"/>
  <c r="Q69" i="24" s="1"/>
  <c r="E69" i="24" s="1"/>
  <c r="CR68" i="1" s="1"/>
  <c r="L70" i="24"/>
  <c r="Q70" i="24" s="1"/>
  <c r="E70" i="24" s="1"/>
  <c r="CR69" i="1" s="1"/>
  <c r="L71" i="24"/>
  <c r="Q71" i="24" s="1"/>
  <c r="E71" i="24" s="1"/>
  <c r="CR70" i="1" s="1"/>
  <c r="L72" i="24"/>
  <c r="Q72" i="24" s="1"/>
  <c r="E72" i="24" s="1"/>
  <c r="CR71" i="1" s="1"/>
  <c r="L73" i="24"/>
  <c r="L74" i="24"/>
  <c r="Q74" i="24" s="1"/>
  <c r="E74" i="24" s="1"/>
  <c r="CR73" i="1" s="1"/>
  <c r="L75" i="24"/>
  <c r="Q75" i="24" s="1"/>
  <c r="E75" i="24" s="1"/>
  <c r="CR74" i="1" s="1"/>
  <c r="L76" i="24"/>
  <c r="Q76" i="24" s="1"/>
  <c r="E76" i="24" s="1"/>
  <c r="CR75" i="1" s="1"/>
  <c r="L77" i="24"/>
  <c r="Q77" i="24" s="1"/>
  <c r="E77" i="24" s="1"/>
  <c r="CR76" i="1" s="1"/>
  <c r="L78" i="24"/>
  <c r="Q78" i="24" s="1"/>
  <c r="E78" i="24" s="1"/>
  <c r="CR77" i="1" s="1"/>
  <c r="L22" i="24"/>
  <c r="Q22" i="24" s="1"/>
  <c r="E22" i="24" s="1"/>
  <c r="CR21" i="1" s="1"/>
  <c r="L23" i="24"/>
  <c r="Q23" i="24" s="1"/>
  <c r="E23" i="24" s="1"/>
  <c r="CR22" i="1" s="1"/>
  <c r="L24" i="24"/>
  <c r="Q24" i="24" s="1"/>
  <c r="E24" i="24" s="1"/>
  <c r="CR23" i="1" s="1"/>
  <c r="L25" i="24"/>
  <c r="Q25" i="24" s="1"/>
  <c r="E25" i="24" s="1"/>
  <c r="CR24" i="1" s="1"/>
  <c r="L26" i="24"/>
  <c r="Q26" i="24" s="1"/>
  <c r="E26" i="24" s="1"/>
  <c r="CR25" i="1" s="1"/>
  <c r="L27" i="24"/>
  <c r="Q27" i="24" s="1"/>
  <c r="E27" i="24" s="1"/>
  <c r="CR26" i="1" s="1"/>
  <c r="L28" i="24"/>
  <c r="Q28" i="24" s="1"/>
  <c r="E28" i="24" s="1"/>
  <c r="CR27" i="1" s="1"/>
  <c r="L29" i="24"/>
  <c r="Q29" i="24" s="1"/>
  <c r="E29" i="24" s="1"/>
  <c r="CR28" i="1" s="1"/>
  <c r="L30" i="24"/>
  <c r="Q30" i="24" s="1"/>
  <c r="E30" i="24" s="1"/>
  <c r="CR29" i="1" s="1"/>
  <c r="L31" i="24"/>
  <c r="Q31" i="24" s="1"/>
  <c r="E31" i="24" s="1"/>
  <c r="CR30" i="1" s="1"/>
  <c r="L32" i="24"/>
  <c r="Q32" i="24" s="1"/>
  <c r="E32" i="24" s="1"/>
  <c r="CR31" i="1" s="1"/>
  <c r="L33" i="24"/>
  <c r="Q33" i="24" s="1"/>
  <c r="E33" i="24" s="1"/>
  <c r="CR32" i="1" s="1"/>
  <c r="L34" i="24"/>
  <c r="Q34" i="24" s="1"/>
  <c r="E34" i="24" s="1"/>
  <c r="CR33" i="1" s="1"/>
  <c r="L35" i="24"/>
  <c r="Q35" i="24" s="1"/>
  <c r="E35" i="24" s="1"/>
  <c r="CR34" i="1" s="1"/>
  <c r="L36" i="24"/>
  <c r="Q36" i="24" s="1"/>
  <c r="E36" i="24" s="1"/>
  <c r="CR35" i="1" s="1"/>
  <c r="L37" i="24"/>
  <c r="Q37" i="24" s="1"/>
  <c r="E37" i="24" s="1"/>
  <c r="CR36" i="1" s="1"/>
  <c r="L38" i="24"/>
  <c r="Q38" i="24" s="1"/>
  <c r="E38" i="24" s="1"/>
  <c r="CR37" i="1" s="1"/>
  <c r="L39" i="24"/>
  <c r="Q39" i="24" s="1"/>
  <c r="E39" i="24" s="1"/>
  <c r="CR38" i="1" s="1"/>
  <c r="L40" i="24"/>
  <c r="Q40" i="24" s="1"/>
  <c r="E40" i="24" s="1"/>
  <c r="CR39" i="1" s="1"/>
  <c r="L41" i="24"/>
  <c r="Q41" i="24" s="1"/>
  <c r="E41" i="24" s="1"/>
  <c r="L42" i="24"/>
  <c r="Q42" i="24" s="1"/>
  <c r="E42" i="24" s="1"/>
  <c r="CR41" i="1" s="1"/>
  <c r="L43" i="24"/>
  <c r="Q43" i="24" s="1"/>
  <c r="E43" i="24" s="1"/>
  <c r="CR42" i="1" s="1"/>
  <c r="L44" i="24"/>
  <c r="Q44" i="24" s="1"/>
  <c r="E44" i="24" s="1"/>
  <c r="CR43" i="1" s="1"/>
  <c r="L21" i="24"/>
  <c r="Q21" i="24" s="1"/>
  <c r="Q20" i="24" l="1"/>
  <c r="E21" i="24"/>
  <c r="CR20" i="1" s="1"/>
  <c r="CR40" i="1"/>
  <c r="AB10" i="15"/>
  <c r="AC10" i="15"/>
  <c r="AD10" i="15"/>
  <c r="AA10" i="15"/>
  <c r="V21" i="15" a="1"/>
  <c r="V21" i="15" s="1"/>
  <c r="W21" i="15" a="1"/>
  <c r="W21" i="15" s="1"/>
  <c r="G22" i="24" s="1"/>
  <c r="X21" i="15" a="1"/>
  <c r="X21" i="15" s="1"/>
  <c r="H22" i="24" s="1"/>
  <c r="Y21" i="15" a="1"/>
  <c r="Y21" i="15" s="1"/>
  <c r="I22" i="24" s="1"/>
  <c r="Z21" i="15" a="1"/>
  <c r="Z21" i="15" s="1"/>
  <c r="J22" i="24" s="1"/>
  <c r="V22" i="15" a="1"/>
  <c r="V22" i="15" s="1"/>
  <c r="W22" i="15" a="1"/>
  <c r="W22" i="15" s="1"/>
  <c r="G23" i="24" s="1"/>
  <c r="X22" i="15" a="1"/>
  <c r="X22" i="15" s="1"/>
  <c r="H23" i="24" s="1"/>
  <c r="Y22" i="15" a="1"/>
  <c r="Y22" i="15" s="1"/>
  <c r="I23" i="24" s="1"/>
  <c r="Z22" i="15" a="1"/>
  <c r="Z22" i="15" s="1"/>
  <c r="J23" i="24" s="1"/>
  <c r="V23" i="15" a="1"/>
  <c r="V23" i="15" s="1"/>
  <c r="W23" i="15" a="1"/>
  <c r="W23" i="15" s="1"/>
  <c r="G24" i="24" s="1"/>
  <c r="X23" i="15" a="1"/>
  <c r="X23" i="15" s="1"/>
  <c r="H24" i="24" s="1"/>
  <c r="Y23" i="15" a="1"/>
  <c r="Y23" i="15" s="1"/>
  <c r="I24" i="24" s="1"/>
  <c r="Z23" i="15" a="1"/>
  <c r="Z23" i="15" s="1"/>
  <c r="J24" i="24" s="1"/>
  <c r="V24" i="15" a="1"/>
  <c r="V24" i="15"/>
  <c r="W24" i="15" a="1"/>
  <c r="W24" i="15" s="1"/>
  <c r="G25" i="24" s="1"/>
  <c r="X24" i="15" a="1"/>
  <c r="X24" i="15" s="1"/>
  <c r="H25" i="24" s="1"/>
  <c r="Y24" i="15" a="1"/>
  <c r="Y24" i="15" s="1"/>
  <c r="I25" i="24" s="1"/>
  <c r="Z24" i="15" a="1"/>
  <c r="Z24" i="15" s="1"/>
  <c r="J25" i="24" s="1"/>
  <c r="V25" i="15" a="1"/>
  <c r="V25" i="15" s="1"/>
  <c r="W25" i="15" a="1"/>
  <c r="W25" i="15" s="1"/>
  <c r="G26" i="24" s="1"/>
  <c r="X25" i="15" a="1"/>
  <c r="X25" i="15" s="1"/>
  <c r="H26" i="24" s="1"/>
  <c r="Y25" i="15" a="1"/>
  <c r="Y25" i="15" s="1"/>
  <c r="I26" i="24" s="1"/>
  <c r="Z25" i="15" a="1"/>
  <c r="Z25" i="15" s="1"/>
  <c r="J26" i="24" s="1"/>
  <c r="V26" i="15" a="1"/>
  <c r="V26" i="15" s="1"/>
  <c r="W26" i="15" a="1"/>
  <c r="W26" i="15" s="1"/>
  <c r="G27" i="24" s="1"/>
  <c r="X26" i="15" a="1"/>
  <c r="X26" i="15" s="1"/>
  <c r="H27" i="24" s="1"/>
  <c r="Y26" i="15" a="1"/>
  <c r="Y26" i="15" s="1"/>
  <c r="I27" i="24" s="1"/>
  <c r="Z26" i="15" a="1"/>
  <c r="Z26" i="15" s="1"/>
  <c r="J27" i="24" s="1"/>
  <c r="V27" i="15" a="1"/>
  <c r="V27" i="15" s="1"/>
  <c r="W27" i="15" a="1"/>
  <c r="W27" i="15" s="1"/>
  <c r="G28" i="24" s="1"/>
  <c r="X27" i="15" a="1"/>
  <c r="X27" i="15" s="1"/>
  <c r="H28" i="24" s="1"/>
  <c r="Y27" i="15" a="1"/>
  <c r="Y27" i="15" s="1"/>
  <c r="I28" i="24" s="1"/>
  <c r="Z27" i="15" a="1"/>
  <c r="Z27" i="15" s="1"/>
  <c r="J28" i="24" s="1"/>
  <c r="V28" i="15" a="1"/>
  <c r="V28" i="15" s="1"/>
  <c r="W28" i="15" a="1"/>
  <c r="W28" i="15" s="1"/>
  <c r="G29" i="24" s="1"/>
  <c r="X28" i="15" a="1"/>
  <c r="X28" i="15" s="1"/>
  <c r="H29" i="24" s="1"/>
  <c r="Y28" i="15" a="1"/>
  <c r="Y28" i="15" s="1"/>
  <c r="I29" i="24" s="1"/>
  <c r="Z28" i="15" a="1"/>
  <c r="Z28" i="15" s="1"/>
  <c r="J29" i="24" s="1"/>
  <c r="V29" i="15" a="1"/>
  <c r="V29" i="15" s="1"/>
  <c r="W29" i="15" a="1"/>
  <c r="W29" i="15"/>
  <c r="G30" i="24" s="1"/>
  <c r="X29" i="15" a="1"/>
  <c r="X29" i="15" s="1"/>
  <c r="H30" i="24" s="1"/>
  <c r="Y29" i="15" a="1"/>
  <c r="Y29" i="15" s="1"/>
  <c r="I30" i="24" s="1"/>
  <c r="Z29" i="15" a="1"/>
  <c r="Z29" i="15" s="1"/>
  <c r="J30" i="24" s="1"/>
  <c r="V30" i="15" a="1"/>
  <c r="V30" i="15" s="1"/>
  <c r="W30" i="15" a="1"/>
  <c r="W30" i="15" s="1"/>
  <c r="G31" i="24" s="1"/>
  <c r="X30" i="15" a="1"/>
  <c r="X30" i="15" s="1"/>
  <c r="H31" i="24" s="1"/>
  <c r="Y30" i="15" a="1"/>
  <c r="Y30" i="15" s="1"/>
  <c r="I31" i="24" s="1"/>
  <c r="Z30" i="15" a="1"/>
  <c r="Z30" i="15" s="1"/>
  <c r="J31" i="24" s="1"/>
  <c r="V31" i="15" a="1"/>
  <c r="V31" i="15" s="1"/>
  <c r="W31" i="15" a="1"/>
  <c r="W31" i="15" s="1"/>
  <c r="G32" i="24" s="1"/>
  <c r="X31" i="15" a="1"/>
  <c r="X31" i="15" s="1"/>
  <c r="H32" i="24" s="1"/>
  <c r="Y31" i="15" a="1"/>
  <c r="Y31" i="15" s="1"/>
  <c r="I32" i="24" s="1"/>
  <c r="Z31" i="15" a="1"/>
  <c r="Z31" i="15" s="1"/>
  <c r="J32" i="24" s="1"/>
  <c r="V32" i="15" a="1"/>
  <c r="V32" i="15" s="1"/>
  <c r="W32" i="15" a="1"/>
  <c r="W32" i="15" s="1"/>
  <c r="G33" i="24" s="1"/>
  <c r="X32" i="15" a="1"/>
  <c r="X32" i="15" s="1"/>
  <c r="H33" i="24" s="1"/>
  <c r="Y32" i="15" a="1"/>
  <c r="Y32" i="15" s="1"/>
  <c r="I33" i="24" s="1"/>
  <c r="Z32" i="15" a="1"/>
  <c r="Z32" i="15" s="1"/>
  <c r="J33" i="24" s="1"/>
  <c r="V33" i="15" a="1"/>
  <c r="V33" i="15" s="1"/>
  <c r="W33" i="15" a="1"/>
  <c r="W33" i="15" s="1"/>
  <c r="G34" i="24" s="1"/>
  <c r="X33" i="15" a="1"/>
  <c r="X33" i="15" s="1"/>
  <c r="H34" i="24" s="1"/>
  <c r="Y33" i="15" a="1"/>
  <c r="Y33" i="15" s="1"/>
  <c r="I34" i="24" s="1"/>
  <c r="Z33" i="15" a="1"/>
  <c r="Z33" i="15" s="1"/>
  <c r="J34" i="24" s="1"/>
  <c r="V34" i="15" a="1"/>
  <c r="V34" i="15" s="1"/>
  <c r="W34" i="15" a="1"/>
  <c r="W34" i="15" s="1"/>
  <c r="G35" i="24" s="1"/>
  <c r="X34" i="15" a="1"/>
  <c r="X34" i="15" s="1"/>
  <c r="H35" i="24" s="1"/>
  <c r="Y34" i="15" a="1"/>
  <c r="Y34" i="15" s="1"/>
  <c r="I35" i="24" s="1"/>
  <c r="Z34" i="15" a="1"/>
  <c r="Z34" i="15" s="1"/>
  <c r="J35" i="24" s="1"/>
  <c r="V35" i="15" a="1"/>
  <c r="V35" i="15" s="1"/>
  <c r="W35" i="15" a="1"/>
  <c r="W35" i="15" s="1"/>
  <c r="G36" i="24" s="1"/>
  <c r="X35" i="15" a="1"/>
  <c r="X35" i="15" s="1"/>
  <c r="H36" i="24" s="1"/>
  <c r="Y35" i="15" a="1"/>
  <c r="Y35" i="15" s="1"/>
  <c r="I36" i="24" s="1"/>
  <c r="Z35" i="15" a="1"/>
  <c r="Z35" i="15" s="1"/>
  <c r="J36" i="24" s="1"/>
  <c r="V36" i="15" a="1"/>
  <c r="V36" i="15"/>
  <c r="W36" i="15" a="1"/>
  <c r="W36" i="15" s="1"/>
  <c r="G37" i="24" s="1"/>
  <c r="X36" i="15" a="1"/>
  <c r="X36" i="15" s="1"/>
  <c r="H37" i="24" s="1"/>
  <c r="Y36" i="15" a="1"/>
  <c r="Y36" i="15" s="1"/>
  <c r="I37" i="24" s="1"/>
  <c r="Z36" i="15" a="1"/>
  <c r="Z36" i="15" s="1"/>
  <c r="J37" i="24" s="1"/>
  <c r="V37" i="15" a="1"/>
  <c r="V37" i="15" s="1"/>
  <c r="W37" i="15" a="1"/>
  <c r="W37" i="15" s="1"/>
  <c r="G38" i="24" s="1"/>
  <c r="X37" i="15" a="1"/>
  <c r="X37" i="15" s="1"/>
  <c r="H38" i="24" s="1"/>
  <c r="Y37" i="15" a="1"/>
  <c r="Y37" i="15" s="1"/>
  <c r="I38" i="24" s="1"/>
  <c r="Z37" i="15" a="1"/>
  <c r="Z37" i="15" s="1"/>
  <c r="J38" i="24" s="1"/>
  <c r="V38" i="15" a="1"/>
  <c r="V38" i="15" s="1"/>
  <c r="W38" i="15" a="1"/>
  <c r="W38" i="15" s="1"/>
  <c r="G39" i="24" s="1"/>
  <c r="X38" i="15" a="1"/>
  <c r="X38" i="15"/>
  <c r="H39" i="24" s="1"/>
  <c r="Y38" i="15" a="1"/>
  <c r="Y38" i="15" s="1"/>
  <c r="I39" i="24" s="1"/>
  <c r="Z38" i="15" a="1"/>
  <c r="Z38" i="15" s="1"/>
  <c r="J39" i="24" s="1"/>
  <c r="V39" i="15" a="1"/>
  <c r="V39" i="15" s="1"/>
  <c r="W39" i="15" a="1"/>
  <c r="W39" i="15" s="1"/>
  <c r="G40" i="24" s="1"/>
  <c r="X39" i="15" a="1"/>
  <c r="X39" i="15" s="1"/>
  <c r="H40" i="24" s="1"/>
  <c r="Y39" i="15" a="1"/>
  <c r="Y39" i="15" s="1"/>
  <c r="I40" i="24" s="1"/>
  <c r="Z39" i="15" a="1"/>
  <c r="Z39" i="15" s="1"/>
  <c r="J40" i="24" s="1"/>
  <c r="V40" i="15" a="1"/>
  <c r="V40" i="15" s="1"/>
  <c r="W40" i="15" a="1"/>
  <c r="W40" i="15" s="1"/>
  <c r="G41" i="24" s="1"/>
  <c r="X40" i="15" a="1"/>
  <c r="X40" i="15" s="1"/>
  <c r="H41" i="24" s="1"/>
  <c r="Y40" i="15" a="1"/>
  <c r="Y40" i="15" s="1"/>
  <c r="I41" i="24" s="1"/>
  <c r="Z40" i="15" a="1"/>
  <c r="Z40" i="15" s="1"/>
  <c r="J41" i="24" s="1"/>
  <c r="V41" i="15" a="1"/>
  <c r="V41" i="15" s="1"/>
  <c r="W41" i="15" a="1"/>
  <c r="W41" i="15" s="1"/>
  <c r="G42" i="24" s="1"/>
  <c r="X41" i="15" a="1"/>
  <c r="X41" i="15" s="1"/>
  <c r="H42" i="24" s="1"/>
  <c r="Y41" i="15" a="1"/>
  <c r="Y41" i="15" s="1"/>
  <c r="I42" i="24" s="1"/>
  <c r="Z41" i="15" a="1"/>
  <c r="Z41" i="15" s="1"/>
  <c r="J42" i="24" s="1"/>
  <c r="V42" i="15" a="1"/>
  <c r="V42" i="15" s="1"/>
  <c r="W42" i="15" a="1"/>
  <c r="W42" i="15" s="1"/>
  <c r="G43" i="24" s="1"/>
  <c r="X42" i="15" a="1"/>
  <c r="X42" i="15" s="1"/>
  <c r="H43" i="24" s="1"/>
  <c r="Y42" i="15" a="1"/>
  <c r="Y42" i="15" s="1"/>
  <c r="I43" i="24" s="1"/>
  <c r="Z42" i="15" a="1"/>
  <c r="Z42" i="15" s="1"/>
  <c r="J43" i="24" s="1"/>
  <c r="V43" i="15" a="1"/>
  <c r="V43" i="15" s="1"/>
  <c r="W43" i="15" a="1"/>
  <c r="W43" i="15" s="1"/>
  <c r="G44" i="24" s="1"/>
  <c r="X43" i="15" a="1"/>
  <c r="X43" i="15" s="1"/>
  <c r="H44" i="24" s="1"/>
  <c r="Y43" i="15" a="1"/>
  <c r="Y43" i="15" s="1"/>
  <c r="I44" i="24" s="1"/>
  <c r="Z43" i="15" a="1"/>
  <c r="Z43" i="15" s="1"/>
  <c r="J44" i="24" s="1"/>
  <c r="V44" i="15" a="1"/>
  <c r="V44" i="15" s="1"/>
  <c r="W44" i="15" a="1"/>
  <c r="W44" i="15" s="1"/>
  <c r="G45" i="24" s="1"/>
  <c r="X44" i="15" a="1"/>
  <c r="X44" i="15" s="1"/>
  <c r="H45" i="24" s="1"/>
  <c r="Y44" i="15" a="1"/>
  <c r="Y44" i="15" s="1"/>
  <c r="I45" i="24" s="1"/>
  <c r="Z44" i="15" a="1"/>
  <c r="Z44" i="15"/>
  <c r="J45" i="24" s="1"/>
  <c r="V45" i="15" a="1"/>
  <c r="V45" i="15" s="1"/>
  <c r="W45" i="15" a="1"/>
  <c r="W45" i="15" s="1"/>
  <c r="G46" i="24" s="1"/>
  <c r="X45" i="15" a="1"/>
  <c r="X45" i="15" s="1"/>
  <c r="H46" i="24" s="1"/>
  <c r="Y45" i="15" a="1"/>
  <c r="Y45" i="15" s="1"/>
  <c r="I46" i="24" s="1"/>
  <c r="Z45" i="15" a="1"/>
  <c r="Z45" i="15" s="1"/>
  <c r="J46" i="24" s="1"/>
  <c r="V46" i="15" a="1"/>
  <c r="V46" i="15" s="1"/>
  <c r="W46" i="15" a="1"/>
  <c r="W46" i="15" s="1"/>
  <c r="G47" i="24" s="1"/>
  <c r="X46" i="15" a="1"/>
  <c r="X46" i="15" s="1"/>
  <c r="H47" i="24" s="1"/>
  <c r="Y46" i="15" a="1"/>
  <c r="Y46" i="15" s="1"/>
  <c r="I47" i="24" s="1"/>
  <c r="Z46" i="15" a="1"/>
  <c r="Z46" i="15" s="1"/>
  <c r="J47" i="24" s="1"/>
  <c r="V47" i="15" a="1"/>
  <c r="V47" i="15" s="1"/>
  <c r="W47" i="15" a="1"/>
  <c r="W47" i="15"/>
  <c r="G48" i="24" s="1"/>
  <c r="X47" i="15" a="1"/>
  <c r="X47" i="15" s="1"/>
  <c r="H48" i="24" s="1"/>
  <c r="Y47" i="15" a="1"/>
  <c r="Y47" i="15" s="1"/>
  <c r="I48" i="24" s="1"/>
  <c r="Z47" i="15" a="1"/>
  <c r="Z47" i="15" s="1"/>
  <c r="J48" i="24" s="1"/>
  <c r="V48" i="15" a="1"/>
  <c r="V48" i="15" s="1"/>
  <c r="W48" i="15" a="1"/>
  <c r="W48" i="15" s="1"/>
  <c r="G49" i="24" s="1"/>
  <c r="X48" i="15" a="1"/>
  <c r="X48" i="15" s="1"/>
  <c r="H49" i="24" s="1"/>
  <c r="Y48" i="15" a="1"/>
  <c r="Y48" i="15" s="1"/>
  <c r="I49" i="24" s="1"/>
  <c r="Z48" i="15" a="1"/>
  <c r="Z48" i="15" s="1"/>
  <c r="J49" i="24" s="1"/>
  <c r="V49" i="15" a="1"/>
  <c r="V49" i="15" s="1"/>
  <c r="W49" i="15" a="1"/>
  <c r="W49" i="15" s="1"/>
  <c r="G50" i="24" s="1"/>
  <c r="X49" i="15" a="1"/>
  <c r="X49" i="15" s="1"/>
  <c r="H50" i="24" s="1"/>
  <c r="Y49" i="15" a="1"/>
  <c r="Y49" i="15"/>
  <c r="I50" i="24" s="1"/>
  <c r="Z49" i="15" a="1"/>
  <c r="Z49" i="15" s="1"/>
  <c r="J50" i="24" s="1"/>
  <c r="V50" i="15" a="1"/>
  <c r="V50" i="15" s="1"/>
  <c r="W50" i="15" a="1"/>
  <c r="W50" i="15" s="1"/>
  <c r="G51" i="24" s="1"/>
  <c r="X50" i="15" a="1"/>
  <c r="X50" i="15" s="1"/>
  <c r="H51" i="24" s="1"/>
  <c r="Y50" i="15" a="1"/>
  <c r="Y50" i="15" s="1"/>
  <c r="I51" i="24" s="1"/>
  <c r="Z50" i="15" a="1"/>
  <c r="Z50" i="15" s="1"/>
  <c r="J51" i="24" s="1"/>
  <c r="V51" i="15" a="1"/>
  <c r="V51" i="15" s="1"/>
  <c r="W51" i="15" a="1"/>
  <c r="W51" i="15"/>
  <c r="G52" i="24" s="1"/>
  <c r="X51" i="15" a="1"/>
  <c r="X51" i="15" s="1"/>
  <c r="H52" i="24" s="1"/>
  <c r="Y51" i="15" a="1"/>
  <c r="Y51" i="15" s="1"/>
  <c r="I52" i="24" s="1"/>
  <c r="Z51" i="15" a="1"/>
  <c r="Z51" i="15" s="1"/>
  <c r="J52" i="24" s="1"/>
  <c r="V52" i="15" a="1"/>
  <c r="V52" i="15" s="1"/>
  <c r="W52" i="15" a="1"/>
  <c r="W52" i="15" s="1"/>
  <c r="G53" i="24" s="1"/>
  <c r="X52" i="15" a="1"/>
  <c r="X52" i="15" s="1"/>
  <c r="H53" i="24" s="1"/>
  <c r="Y52" i="15" a="1"/>
  <c r="Y52" i="15" s="1"/>
  <c r="I53" i="24" s="1"/>
  <c r="Z52" i="15" a="1"/>
  <c r="Z52" i="15" s="1"/>
  <c r="J53" i="24" s="1"/>
  <c r="V53" i="15" a="1"/>
  <c r="V53" i="15" s="1"/>
  <c r="W53" i="15" a="1"/>
  <c r="W53" i="15"/>
  <c r="G54" i="24" s="1"/>
  <c r="X53" i="15" a="1"/>
  <c r="X53" i="15" s="1"/>
  <c r="H54" i="24" s="1"/>
  <c r="Y53" i="15" a="1"/>
  <c r="Y53" i="15" s="1"/>
  <c r="I54" i="24" s="1"/>
  <c r="Z53" i="15" a="1"/>
  <c r="Z53" i="15" s="1"/>
  <c r="J54" i="24" s="1"/>
  <c r="V54" i="15" a="1"/>
  <c r="V54" i="15" s="1"/>
  <c r="W54" i="15" a="1"/>
  <c r="W54" i="15" s="1"/>
  <c r="G55" i="24" s="1"/>
  <c r="X54" i="15" a="1"/>
  <c r="X54" i="15"/>
  <c r="H55" i="24" s="1"/>
  <c r="Y54" i="15" a="1"/>
  <c r="Y54" i="15" s="1"/>
  <c r="I55" i="24" s="1"/>
  <c r="Z54" i="15" a="1"/>
  <c r="Z54" i="15" s="1"/>
  <c r="J55" i="24" s="1"/>
  <c r="V55" i="15" a="1"/>
  <c r="V55" i="15" s="1"/>
  <c r="W55" i="15" a="1"/>
  <c r="W55" i="15" s="1"/>
  <c r="G56" i="24" s="1"/>
  <c r="X55" i="15" a="1"/>
  <c r="X55" i="15" s="1"/>
  <c r="H56" i="24" s="1"/>
  <c r="Y55" i="15" a="1"/>
  <c r="Y55" i="15" s="1"/>
  <c r="I56" i="24" s="1"/>
  <c r="Z55" i="15" a="1"/>
  <c r="Z55" i="15" s="1"/>
  <c r="J56" i="24" s="1"/>
  <c r="V56" i="15" a="1"/>
  <c r="V56" i="15" s="1"/>
  <c r="W56" i="15" a="1"/>
  <c r="W56" i="15" s="1"/>
  <c r="G57" i="24" s="1"/>
  <c r="X56" i="15" a="1"/>
  <c r="X56" i="15" s="1"/>
  <c r="H57" i="24" s="1"/>
  <c r="Y56" i="15" a="1"/>
  <c r="Y56" i="15" s="1"/>
  <c r="I57" i="24" s="1"/>
  <c r="Z56" i="15" a="1"/>
  <c r="Z56" i="15" s="1"/>
  <c r="J57" i="24" s="1"/>
  <c r="V57" i="15" a="1"/>
  <c r="V57" i="15" s="1"/>
  <c r="W57" i="15" a="1"/>
  <c r="W57" i="15" s="1"/>
  <c r="G58" i="24" s="1"/>
  <c r="X57" i="15" a="1"/>
  <c r="X57" i="15" s="1"/>
  <c r="H58" i="24" s="1"/>
  <c r="Y57" i="15" a="1"/>
  <c r="Y57" i="15" s="1"/>
  <c r="I58" i="24" s="1"/>
  <c r="Z57" i="15" a="1"/>
  <c r="Z57" i="15" s="1"/>
  <c r="J58" i="24" s="1"/>
  <c r="V58" i="15" a="1"/>
  <c r="V58" i="15" s="1"/>
  <c r="W58" i="15" a="1"/>
  <c r="W58" i="15" s="1"/>
  <c r="G59" i="24" s="1"/>
  <c r="X58" i="15" a="1"/>
  <c r="X58" i="15" s="1"/>
  <c r="H59" i="24" s="1"/>
  <c r="Y58" i="15" a="1"/>
  <c r="Y58" i="15" s="1"/>
  <c r="I59" i="24" s="1"/>
  <c r="Z58" i="15" a="1"/>
  <c r="Z58" i="15" s="1"/>
  <c r="J59" i="24" s="1"/>
  <c r="V59" i="15" a="1"/>
  <c r="V59" i="15" s="1"/>
  <c r="W59" i="15" a="1"/>
  <c r="W59" i="15" s="1"/>
  <c r="G60" i="24" s="1"/>
  <c r="X59" i="15" a="1"/>
  <c r="X59" i="15" s="1"/>
  <c r="H60" i="24" s="1"/>
  <c r="Y59" i="15" a="1"/>
  <c r="Y59" i="15" s="1"/>
  <c r="I60" i="24" s="1"/>
  <c r="Z59" i="15" a="1"/>
  <c r="Z59" i="15" s="1"/>
  <c r="J60" i="24" s="1"/>
  <c r="V60" i="15" a="1"/>
  <c r="V60" i="15" s="1"/>
  <c r="W60" i="15" a="1"/>
  <c r="W60" i="15" s="1"/>
  <c r="G61" i="24" s="1"/>
  <c r="X60" i="15" a="1"/>
  <c r="X60" i="15" s="1"/>
  <c r="H61" i="24" s="1"/>
  <c r="Y60" i="15" a="1"/>
  <c r="Y60" i="15" s="1"/>
  <c r="I61" i="24" s="1"/>
  <c r="Z60" i="15" a="1"/>
  <c r="Z60" i="15" s="1"/>
  <c r="J61" i="24" s="1"/>
  <c r="V61" i="15" a="1"/>
  <c r="V61" i="15" s="1"/>
  <c r="W61" i="15" a="1"/>
  <c r="W61" i="15" s="1"/>
  <c r="G62" i="24" s="1"/>
  <c r="X61" i="15" a="1"/>
  <c r="X61" i="15" s="1"/>
  <c r="H62" i="24" s="1"/>
  <c r="Y61" i="15" a="1"/>
  <c r="Y61" i="15" s="1"/>
  <c r="I62" i="24" s="1"/>
  <c r="Z61" i="15" a="1"/>
  <c r="Z61" i="15" s="1"/>
  <c r="J62" i="24" s="1"/>
  <c r="V62" i="15" a="1"/>
  <c r="V62" i="15" s="1"/>
  <c r="W62" i="15" a="1"/>
  <c r="W62" i="15" s="1"/>
  <c r="G63" i="24" s="1"/>
  <c r="X62" i="15" a="1"/>
  <c r="X62" i="15" s="1"/>
  <c r="H63" i="24" s="1"/>
  <c r="Y62" i="15" a="1"/>
  <c r="Y62" i="15" s="1"/>
  <c r="I63" i="24" s="1"/>
  <c r="Z62" i="15" a="1"/>
  <c r="Z62" i="15" s="1"/>
  <c r="J63" i="24" s="1"/>
  <c r="V63" i="15" a="1"/>
  <c r="V63" i="15" s="1"/>
  <c r="W63" i="15" a="1"/>
  <c r="W63" i="15" s="1"/>
  <c r="G64" i="24" s="1"/>
  <c r="X63" i="15" a="1"/>
  <c r="X63" i="15" s="1"/>
  <c r="H64" i="24" s="1"/>
  <c r="Y63" i="15" a="1"/>
  <c r="Y63" i="15" s="1"/>
  <c r="I64" i="24" s="1"/>
  <c r="Z63" i="15" a="1"/>
  <c r="Z63" i="15" s="1"/>
  <c r="J64" i="24" s="1"/>
  <c r="V64" i="15" a="1"/>
  <c r="V64" i="15" s="1"/>
  <c r="W64" i="15" a="1"/>
  <c r="W64" i="15" s="1"/>
  <c r="G65" i="24" s="1"/>
  <c r="X64" i="15" a="1"/>
  <c r="X64" i="15" s="1"/>
  <c r="H65" i="24" s="1"/>
  <c r="Y64" i="15" a="1"/>
  <c r="Y64" i="15" s="1"/>
  <c r="I65" i="24" s="1"/>
  <c r="Z64" i="15" a="1"/>
  <c r="Z64" i="15" s="1"/>
  <c r="J65" i="24" s="1"/>
  <c r="V65" i="15" a="1"/>
  <c r="V65" i="15" s="1"/>
  <c r="W65" i="15" a="1"/>
  <c r="W65" i="15" s="1"/>
  <c r="G66" i="24" s="1"/>
  <c r="X65" i="15" a="1"/>
  <c r="X65" i="15" s="1"/>
  <c r="H66" i="24" s="1"/>
  <c r="Y65" i="15" a="1"/>
  <c r="Y65" i="15" s="1"/>
  <c r="I66" i="24" s="1"/>
  <c r="Z65" i="15" a="1"/>
  <c r="Z65" i="15" s="1"/>
  <c r="J66" i="24" s="1"/>
  <c r="V66" i="15" a="1"/>
  <c r="V66" i="15" s="1"/>
  <c r="W66" i="15" a="1"/>
  <c r="W66" i="15" s="1"/>
  <c r="G67" i="24" s="1"/>
  <c r="X66" i="15" a="1"/>
  <c r="X66" i="15" s="1"/>
  <c r="H67" i="24" s="1"/>
  <c r="Y66" i="15" a="1"/>
  <c r="Y66" i="15" s="1"/>
  <c r="I67" i="24" s="1"/>
  <c r="Z66" i="15" a="1"/>
  <c r="Z66" i="15" s="1"/>
  <c r="J67" i="24" s="1"/>
  <c r="V67" i="15" a="1"/>
  <c r="V67" i="15" s="1"/>
  <c r="W67" i="15" a="1"/>
  <c r="W67" i="15" s="1"/>
  <c r="G68" i="24" s="1"/>
  <c r="X67" i="15" a="1"/>
  <c r="X67" i="15" s="1"/>
  <c r="H68" i="24" s="1"/>
  <c r="Y67" i="15" a="1"/>
  <c r="Y67" i="15" s="1"/>
  <c r="I68" i="24" s="1"/>
  <c r="Z67" i="15" a="1"/>
  <c r="Z67" i="15" s="1"/>
  <c r="J68" i="24" s="1"/>
  <c r="V68" i="15" a="1"/>
  <c r="V68" i="15" s="1"/>
  <c r="W68" i="15" a="1"/>
  <c r="W68" i="15" s="1"/>
  <c r="G69" i="24" s="1"/>
  <c r="X68" i="15" a="1"/>
  <c r="X68" i="15" s="1"/>
  <c r="H69" i="24" s="1"/>
  <c r="Y68" i="15" a="1"/>
  <c r="Y68" i="15" s="1"/>
  <c r="I69" i="24" s="1"/>
  <c r="Z68" i="15" a="1"/>
  <c r="Z68" i="15" s="1"/>
  <c r="J69" i="24" s="1"/>
  <c r="V69" i="15" a="1"/>
  <c r="V69" i="15" s="1"/>
  <c r="W69" i="15" a="1"/>
  <c r="W69" i="15" s="1"/>
  <c r="G70" i="24" s="1"/>
  <c r="X69" i="15" a="1"/>
  <c r="X69" i="15" s="1"/>
  <c r="H70" i="24" s="1"/>
  <c r="Y69" i="15" a="1"/>
  <c r="Y69" i="15" s="1"/>
  <c r="I70" i="24" s="1"/>
  <c r="Z69" i="15" a="1"/>
  <c r="Z69" i="15" s="1"/>
  <c r="J70" i="24" s="1"/>
  <c r="V70" i="15" a="1"/>
  <c r="V70" i="15" s="1"/>
  <c r="W70" i="15" a="1"/>
  <c r="W70" i="15" s="1"/>
  <c r="G71" i="24" s="1"/>
  <c r="X70" i="15" a="1"/>
  <c r="X70" i="15" s="1"/>
  <c r="H71" i="24" s="1"/>
  <c r="Y70" i="15" a="1"/>
  <c r="Y70" i="15" s="1"/>
  <c r="I71" i="24" s="1"/>
  <c r="Z70" i="15" a="1"/>
  <c r="Z70" i="15" s="1"/>
  <c r="J71" i="24" s="1"/>
  <c r="V71" i="15" a="1"/>
  <c r="V71" i="15" s="1"/>
  <c r="W71" i="15" a="1"/>
  <c r="W71" i="15" s="1"/>
  <c r="G72" i="24" s="1"/>
  <c r="X71" i="15" a="1"/>
  <c r="X71" i="15" s="1"/>
  <c r="H72" i="24" s="1"/>
  <c r="Y71" i="15" a="1"/>
  <c r="Y71" i="15" s="1"/>
  <c r="I72" i="24" s="1"/>
  <c r="Z71" i="15" a="1"/>
  <c r="Z71" i="15" s="1"/>
  <c r="J72" i="24" s="1"/>
  <c r="V72" i="15" a="1"/>
  <c r="V72" i="15" s="1"/>
  <c r="W72" i="15" a="1"/>
  <c r="W72" i="15" s="1"/>
  <c r="G73" i="24" s="1"/>
  <c r="X72" i="15" a="1"/>
  <c r="X72" i="15" s="1"/>
  <c r="H73" i="24" s="1"/>
  <c r="Y72" i="15" a="1"/>
  <c r="Y72" i="15" s="1"/>
  <c r="I73" i="24" s="1"/>
  <c r="Z72" i="15" a="1"/>
  <c r="Z72" i="15" s="1"/>
  <c r="J73" i="24" s="1"/>
  <c r="V73" i="15" a="1"/>
  <c r="V73" i="15" s="1"/>
  <c r="W73" i="15" a="1"/>
  <c r="W73" i="15" s="1"/>
  <c r="G74" i="24" s="1"/>
  <c r="X73" i="15" a="1"/>
  <c r="X73" i="15" s="1"/>
  <c r="H74" i="24" s="1"/>
  <c r="Y73" i="15" a="1"/>
  <c r="Y73" i="15" s="1"/>
  <c r="I74" i="24" s="1"/>
  <c r="Z73" i="15" a="1"/>
  <c r="Z73" i="15" s="1"/>
  <c r="J74" i="24" s="1"/>
  <c r="V74" i="15" a="1"/>
  <c r="V74" i="15" s="1"/>
  <c r="W74" i="15" a="1"/>
  <c r="W74" i="15" s="1"/>
  <c r="G75" i="24" s="1"/>
  <c r="X74" i="15" a="1"/>
  <c r="X74" i="15" s="1"/>
  <c r="H75" i="24" s="1"/>
  <c r="Y74" i="15" a="1"/>
  <c r="Y74" i="15" s="1"/>
  <c r="I75" i="24" s="1"/>
  <c r="Z74" i="15" a="1"/>
  <c r="Z74" i="15" s="1"/>
  <c r="J75" i="24" s="1"/>
  <c r="V75" i="15" a="1"/>
  <c r="V75" i="15" s="1"/>
  <c r="W75" i="15" a="1"/>
  <c r="W75" i="15" s="1"/>
  <c r="G76" i="24" s="1"/>
  <c r="X75" i="15" a="1"/>
  <c r="X75" i="15" s="1"/>
  <c r="H76" i="24" s="1"/>
  <c r="Y75" i="15" a="1"/>
  <c r="Y75" i="15" s="1"/>
  <c r="I76" i="24" s="1"/>
  <c r="Z75" i="15" a="1"/>
  <c r="Z75" i="15" s="1"/>
  <c r="J76" i="24" s="1"/>
  <c r="V76" i="15" a="1"/>
  <c r="V76" i="15" s="1"/>
  <c r="W76" i="15" a="1"/>
  <c r="W76" i="15" s="1"/>
  <c r="G77" i="24" s="1"/>
  <c r="X76" i="15" a="1"/>
  <c r="X76" i="15" s="1"/>
  <c r="H77" i="24" s="1"/>
  <c r="Y76" i="15" a="1"/>
  <c r="Y76" i="15" s="1"/>
  <c r="I77" i="24" s="1"/>
  <c r="Z76" i="15" a="1"/>
  <c r="Z76" i="15" s="1"/>
  <c r="J77" i="24" s="1"/>
  <c r="V77" i="15" a="1"/>
  <c r="V77" i="15" s="1"/>
  <c r="W77" i="15" a="1"/>
  <c r="W77" i="15" s="1"/>
  <c r="G78" i="24" s="1"/>
  <c r="X77" i="15" a="1"/>
  <c r="X77" i="15" s="1"/>
  <c r="H78" i="24" s="1"/>
  <c r="Y77" i="15" a="1"/>
  <c r="Y77" i="15" s="1"/>
  <c r="I78" i="24" s="1"/>
  <c r="Z77" i="15" a="1"/>
  <c r="Z77" i="15" s="1"/>
  <c r="J78" i="24" s="1"/>
  <c r="V20" i="15" a="1"/>
  <c r="V20" i="15" s="1"/>
  <c r="X20" i="15" a="1"/>
  <c r="X20" i="15" s="1"/>
  <c r="H21" i="24" s="1"/>
  <c r="Y20" i="15" a="1"/>
  <c r="Y20" i="15" s="1"/>
  <c r="I21" i="24" s="1"/>
  <c r="Z20" i="15" a="1"/>
  <c r="Z20" i="15" s="1"/>
  <c r="J21" i="24" s="1"/>
  <c r="W20" i="15" a="1"/>
  <c r="W20" i="15" s="1"/>
  <c r="G21" i="24" s="1"/>
  <c r="AE71" i="15" l="1"/>
  <c r="F72" i="24"/>
  <c r="AE59" i="15"/>
  <c r="F60" i="24"/>
  <c r="AE35" i="15"/>
  <c r="F36" i="24"/>
  <c r="AE21" i="15"/>
  <c r="F22" i="24"/>
  <c r="AE20" i="15"/>
  <c r="F21" i="24"/>
  <c r="AE74" i="15"/>
  <c r="F75" i="24"/>
  <c r="AE70" i="15"/>
  <c r="F71" i="24"/>
  <c r="AE66" i="15"/>
  <c r="F67" i="24"/>
  <c r="AE62" i="15"/>
  <c r="F63" i="24"/>
  <c r="AE58" i="15"/>
  <c r="F59" i="24"/>
  <c r="AE52" i="15"/>
  <c r="F53" i="24"/>
  <c r="AE47" i="15"/>
  <c r="F48" i="24"/>
  <c r="AE44" i="15"/>
  <c r="F45" i="24"/>
  <c r="AE40" i="15"/>
  <c r="F41" i="24"/>
  <c r="AE37" i="15"/>
  <c r="F38" i="24"/>
  <c r="AE34" i="15"/>
  <c r="F35" i="24"/>
  <c r="AE30" i="15"/>
  <c r="F31" i="24"/>
  <c r="AE27" i="15"/>
  <c r="F28" i="24"/>
  <c r="AE75" i="15"/>
  <c r="F76" i="24"/>
  <c r="AE67" i="15"/>
  <c r="F68" i="24"/>
  <c r="AE55" i="15"/>
  <c r="F56" i="24"/>
  <c r="AE50" i="15"/>
  <c r="F51" i="24"/>
  <c r="AE41" i="15"/>
  <c r="F42" i="24"/>
  <c r="AE28" i="15"/>
  <c r="F29" i="24"/>
  <c r="AE77" i="15"/>
  <c r="F78" i="24"/>
  <c r="AE73" i="15"/>
  <c r="F74" i="24"/>
  <c r="AE69" i="15"/>
  <c r="F70" i="24"/>
  <c r="AE65" i="15"/>
  <c r="F66" i="24"/>
  <c r="AE61" i="15"/>
  <c r="F62" i="24"/>
  <c r="AE57" i="15"/>
  <c r="F58" i="24"/>
  <c r="AE54" i="15"/>
  <c r="F55" i="24"/>
  <c r="AE49" i="15"/>
  <c r="F50" i="24"/>
  <c r="AE46" i="15"/>
  <c r="F47" i="24"/>
  <c r="AE43" i="15"/>
  <c r="F44" i="24"/>
  <c r="AE39" i="15"/>
  <c r="F40" i="24"/>
  <c r="AE36" i="15"/>
  <c r="F37" i="24"/>
  <c r="AE33" i="15"/>
  <c r="F34" i="24"/>
  <c r="AE26" i="15"/>
  <c r="F27" i="24"/>
  <c r="AE23" i="15"/>
  <c r="F24" i="24"/>
  <c r="AE63" i="15"/>
  <c r="F64" i="24"/>
  <c r="AE53" i="15"/>
  <c r="F54" i="24"/>
  <c r="AE38" i="15"/>
  <c r="F39" i="24"/>
  <c r="AE31" i="15"/>
  <c r="F32" i="24"/>
  <c r="AE24" i="15"/>
  <c r="F25" i="24"/>
  <c r="AE76" i="15"/>
  <c r="F77" i="24"/>
  <c r="AE72" i="15"/>
  <c r="F73" i="24"/>
  <c r="AE68" i="15"/>
  <c r="F69" i="24"/>
  <c r="AE64" i="15"/>
  <c r="F65" i="24"/>
  <c r="AE60" i="15"/>
  <c r="F61" i="24"/>
  <c r="AE56" i="15"/>
  <c r="F57" i="24"/>
  <c r="AE51" i="15"/>
  <c r="F52" i="24"/>
  <c r="AE48" i="15"/>
  <c r="F49" i="24"/>
  <c r="AE45" i="15"/>
  <c r="F46" i="24"/>
  <c r="AE42" i="15"/>
  <c r="F43" i="24"/>
  <c r="AE32" i="15"/>
  <c r="F33" i="24"/>
  <c r="AE29" i="15"/>
  <c r="F30" i="24"/>
  <c r="AE25" i="15"/>
  <c r="F26" i="24"/>
  <c r="AE22" i="15"/>
  <c r="F23" i="24"/>
  <c r="M64" i="18"/>
  <c r="N97" i="18" l="1"/>
  <c r="M61" i="18"/>
  <c r="M80" i="18" l="1"/>
  <c r="BY57" i="1" l="1"/>
  <c r="I57" i="29"/>
  <c r="E57" i="29"/>
  <c r="BY61" i="1" l="1"/>
  <c r="BK68" i="1" l="1"/>
  <c r="Q108" i="17" l="1"/>
  <c r="R108" i="17"/>
  <c r="Q109" i="17"/>
  <c r="R109" i="17"/>
  <c r="AF27" i="17" l="1" a="1"/>
  <c r="AF27" i="17" s="1"/>
  <c r="AE27" i="17" a="1"/>
  <c r="AE27" i="17" s="1"/>
  <c r="AF26" i="17" a="1"/>
  <c r="AF26" i="17"/>
  <c r="AE26" i="17" a="1"/>
  <c r="AE26" i="17" s="1"/>
  <c r="AF25" i="17" a="1"/>
  <c r="AF25" i="17" s="1"/>
  <c r="AE25" i="17" a="1"/>
  <c r="AE25" i="17" s="1"/>
  <c r="AF24" i="17" a="1"/>
  <c r="AF24" i="17" s="1"/>
  <c r="AE24" i="17" a="1"/>
  <c r="AE24" i="17" s="1"/>
  <c r="AF23" i="17" a="1"/>
  <c r="AF23" i="17" s="1"/>
  <c r="AE23" i="17" a="1"/>
  <c r="AE23" i="17" s="1"/>
  <c r="AF22" i="17" a="1"/>
  <c r="AF22" i="17" s="1"/>
  <c r="AE22" i="17" a="1"/>
  <c r="AE22" i="17" s="1"/>
  <c r="AF21" i="17" a="1"/>
  <c r="AF21" i="17" s="1"/>
  <c r="AE21" i="17" a="1"/>
  <c r="AE21" i="17" s="1"/>
  <c r="AF20" i="17" a="1"/>
  <c r="AF20" i="17" s="1"/>
  <c r="AE20" i="17" a="1"/>
  <c r="AE20" i="17" s="1"/>
  <c r="Z27" i="17" a="1"/>
  <c r="Z27" i="17" s="1"/>
  <c r="Z26" i="17" a="1"/>
  <c r="Z26" i="17" s="1"/>
  <c r="Z25" i="17" a="1"/>
  <c r="Z25" i="17" s="1"/>
  <c r="Z24" i="17" a="1"/>
  <c r="Z24" i="17" s="1"/>
  <c r="Z23" i="17" a="1"/>
  <c r="Z23" i="17" s="1"/>
  <c r="Z22" i="17" a="1"/>
  <c r="Z22" i="17" s="1"/>
  <c r="Z21" i="17" a="1"/>
  <c r="Z21" i="17" s="1"/>
  <c r="Z20" i="17" a="1"/>
  <c r="Z20" i="17" s="1"/>
  <c r="Y27" i="17" a="1"/>
  <c r="Y27" i="17" s="1"/>
  <c r="Y26" i="17" a="1"/>
  <c r="Y26" i="17" s="1"/>
  <c r="Y25" i="17" a="1"/>
  <c r="Y25" i="17" s="1"/>
  <c r="Y24" i="17" a="1"/>
  <c r="Y24" i="17" s="1"/>
  <c r="Y23" i="17" a="1"/>
  <c r="Y23" i="17" s="1"/>
  <c r="Y22" i="17" a="1"/>
  <c r="Y22" i="17" s="1"/>
  <c r="Y21" i="17" a="1"/>
  <c r="Y21" i="17"/>
  <c r="Y20" i="17" a="1"/>
  <c r="Y20" i="17" s="1"/>
  <c r="V20" i="17" a="1"/>
  <c r="V20" i="17" s="1"/>
  <c r="T26" i="17" a="1"/>
  <c r="T26" i="17" s="1"/>
  <c r="T25" i="17" a="1"/>
  <c r="T25" i="17" s="1"/>
  <c r="T24" i="17" a="1"/>
  <c r="T24" i="17" s="1"/>
  <c r="T23" i="17" a="1"/>
  <c r="T23" i="17" s="1"/>
  <c r="T22" i="17" a="1"/>
  <c r="T22" i="17" s="1"/>
  <c r="T20" i="17" a="1"/>
  <c r="T20" i="17" s="1"/>
  <c r="T21" i="17" a="1"/>
  <c r="T21" i="17" s="1"/>
  <c r="S27" i="17" a="1"/>
  <c r="S27" i="17" s="1"/>
  <c r="S26" i="17" a="1"/>
  <c r="S26" i="17" s="1"/>
  <c r="S25" i="17" a="1"/>
  <c r="S25" i="17" s="1"/>
  <c r="S24" i="17" a="1"/>
  <c r="S24" i="17" s="1"/>
  <c r="S23" i="17" a="1"/>
  <c r="S23" i="17" s="1"/>
  <c r="S22" i="17" a="1"/>
  <c r="S22" i="17" s="1"/>
  <c r="S21" i="17" a="1"/>
  <c r="S21" i="17" s="1"/>
  <c r="S20" i="17" a="1"/>
  <c r="S20" i="17" s="1"/>
  <c r="Q27" i="17" a="1"/>
  <c r="Q27" i="17" s="1"/>
  <c r="R27" i="17" s="1"/>
  <c r="Q26" i="17" a="1"/>
  <c r="Q26" i="17" s="1"/>
  <c r="R26" i="17" s="1"/>
  <c r="Q25" i="17" a="1"/>
  <c r="Q25" i="17" s="1"/>
  <c r="R25" i="17" s="1"/>
  <c r="Q24" i="17" a="1"/>
  <c r="Q24" i="17" s="1"/>
  <c r="R24" i="17" s="1"/>
  <c r="Q23" i="17" a="1"/>
  <c r="Q23" i="17" s="1"/>
  <c r="R23" i="17" s="1"/>
  <c r="Q22" i="17" a="1"/>
  <c r="Q22" i="17" s="1"/>
  <c r="R22" i="17" s="1"/>
  <c r="Q21" i="17" a="1"/>
  <c r="Q21" i="17" s="1"/>
  <c r="R21" i="17" s="1"/>
  <c r="Q20" i="17" a="1"/>
  <c r="Q20" i="17" s="1"/>
  <c r="Q19" i="17" s="1"/>
  <c r="R19" i="17" s="1"/>
  <c r="G26" i="17" a="1"/>
  <c r="G26" i="17" s="1"/>
  <c r="G25" i="17" a="1"/>
  <c r="G25" i="17" s="1"/>
  <c r="G24" i="17" a="1"/>
  <c r="G24" i="17" s="1"/>
  <c r="G23" i="17" a="1"/>
  <c r="G23" i="17" s="1"/>
  <c r="G22" i="17" a="1"/>
  <c r="G22" i="17" s="1"/>
  <c r="G21" i="17" a="1"/>
  <c r="G21" i="17" s="1"/>
  <c r="G20" i="17" a="1"/>
  <c r="G20" i="17" s="1"/>
  <c r="I26" i="17" a="1"/>
  <c r="I26" i="17" s="1"/>
  <c r="I25" i="17" a="1"/>
  <c r="I25" i="17" s="1"/>
  <c r="I24" i="17" a="1"/>
  <c r="I24" i="17" s="1"/>
  <c r="I23" i="17" a="1"/>
  <c r="I23" i="17" s="1"/>
  <c r="I22" i="17" a="1"/>
  <c r="I22" i="17" s="1"/>
  <c r="I21" i="17" a="1"/>
  <c r="I21" i="17" s="1"/>
  <c r="I20" i="17" a="1"/>
  <c r="I20" i="17" s="1"/>
  <c r="R20" i="17" l="1"/>
  <c r="M94" i="18"/>
  <c r="M87" i="18" l="1"/>
  <c r="M83" i="18" l="1"/>
  <c r="M81" i="18"/>
  <c r="M85" i="18"/>
  <c r="M58" i="18"/>
  <c r="M59" i="18" l="1"/>
  <c r="M103" i="18"/>
  <c r="BQ78" i="1" l="1"/>
  <c r="R21" i="1" l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20" i="1"/>
  <c r="CQ20" i="17" l="1"/>
  <c r="CQ21" i="17"/>
  <c r="CQ22" i="17"/>
  <c r="CQ23" i="17"/>
  <c r="CQ24" i="17"/>
  <c r="CQ25" i="17"/>
  <c r="CQ26" i="17"/>
  <c r="CQ27" i="17"/>
  <c r="CQ19" i="17"/>
  <c r="S26" i="13" l="1" a="1"/>
  <c r="S26" i="13" s="1"/>
  <c r="S66" i="13" a="1"/>
  <c r="S66" i="13" s="1"/>
  <c r="S60" i="13" a="1"/>
  <c r="S60" i="13" s="1"/>
  <c r="K34" i="28" l="1"/>
  <c r="K35" i="28"/>
  <c r="K36" i="28"/>
  <c r="K37" i="28"/>
  <c r="K38" i="28"/>
  <c r="K39" i="28"/>
  <c r="K40" i="28"/>
  <c r="K41" i="28"/>
  <c r="K42" i="28"/>
  <c r="K43" i="28"/>
  <c r="K44" i="28"/>
  <c r="K45" i="28"/>
  <c r="K46" i="28"/>
  <c r="K47" i="28"/>
  <c r="K48" i="28"/>
  <c r="K49" i="28"/>
  <c r="K50" i="28"/>
  <c r="K51" i="28"/>
  <c r="K52" i="28"/>
  <c r="K53" i="28"/>
  <c r="K54" i="28"/>
  <c r="K55" i="28"/>
  <c r="K56" i="28"/>
  <c r="K57" i="28"/>
  <c r="K58" i="28"/>
  <c r="K59" i="28"/>
  <c r="K60" i="28"/>
  <c r="K61" i="28"/>
  <c r="K62" i="28"/>
  <c r="K63" i="28"/>
  <c r="K64" i="28"/>
  <c r="K65" i="28"/>
  <c r="K66" i="28"/>
  <c r="K67" i="28"/>
  <c r="K68" i="28"/>
  <c r="K69" i="28"/>
  <c r="K70" i="28"/>
  <c r="K71" i="28"/>
  <c r="K72" i="28"/>
  <c r="K73" i="28"/>
  <c r="K74" i="28"/>
  <c r="K75" i="28"/>
  <c r="K76" i="28"/>
  <c r="K77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20" i="28"/>
  <c r="J19" i="28"/>
  <c r="I19" i="28"/>
  <c r="L20" i="24" s="1"/>
  <c r="K19" i="28" l="1"/>
  <c r="CA16" i="16"/>
  <c r="CA11" i="16"/>
  <c r="BX19" i="16"/>
  <c r="BX18" i="16" s="1"/>
  <c r="CM18" i="16"/>
  <c r="CJ18" i="16"/>
  <c r="BU18" i="16"/>
  <c r="Q111" i="17" l="1"/>
  <c r="Q116" i="17" s="1"/>
  <c r="R111" i="17"/>
  <c r="R116" i="17" s="1"/>
  <c r="R17" i="17"/>
  <c r="Q17" i="17"/>
  <c r="R16" i="17"/>
  <c r="R18" i="17" s="1"/>
  <c r="Q16" i="17"/>
  <c r="R15" i="17"/>
  <c r="R11" i="17"/>
  <c r="H106" i="1"/>
  <c r="I106" i="1"/>
  <c r="J106" i="1"/>
  <c r="K106" i="1"/>
  <c r="L106" i="1"/>
  <c r="M106" i="1"/>
  <c r="N106" i="1"/>
  <c r="O106" i="1"/>
  <c r="P106" i="1"/>
  <c r="Q106" i="1"/>
  <c r="Q110" i="17" s="1"/>
  <c r="R106" i="1"/>
  <c r="R110" i="17" s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G106" i="1"/>
  <c r="Q111" i="1"/>
  <c r="R111" i="1"/>
  <c r="Q112" i="1"/>
  <c r="R112" i="1"/>
  <c r="R108" i="1"/>
  <c r="Q19" i="1"/>
  <c r="R19" i="1"/>
  <c r="R18" i="1" s="1"/>
  <c r="R112" i="17" l="1"/>
  <c r="R115" i="17"/>
  <c r="Q112" i="17"/>
  <c r="Q115" i="17"/>
  <c r="Q113" i="1"/>
  <c r="Q108" i="1"/>
  <c r="R113" i="1"/>
  <c r="BF142" i="16"/>
  <c r="BJ142" i="16"/>
  <c r="BN142" i="16"/>
  <c r="BF140" i="16"/>
  <c r="BG140" i="16"/>
  <c r="BG142" i="16" s="1"/>
  <c r="BH140" i="16"/>
  <c r="BH142" i="16" s="1"/>
  <c r="BI140" i="16"/>
  <c r="BI142" i="16" s="1"/>
  <c r="BJ140" i="16"/>
  <c r="BK140" i="16"/>
  <c r="BK142" i="16" s="1"/>
  <c r="BL140" i="16"/>
  <c r="BL142" i="16" s="1"/>
  <c r="BM140" i="16"/>
  <c r="BM142" i="16" s="1"/>
  <c r="BN140" i="16"/>
  <c r="BO140" i="16"/>
  <c r="BE140" i="16"/>
  <c r="BD18" i="16"/>
  <c r="BA18" i="16"/>
  <c r="AU18" i="16"/>
  <c r="AL18" i="16"/>
  <c r="AI18" i="16"/>
  <c r="AF18" i="16"/>
  <c r="AA18" i="16"/>
  <c r="V18" i="16"/>
  <c r="Q18" i="16"/>
  <c r="N18" i="16"/>
  <c r="K18" i="16"/>
  <c r="H18" i="16"/>
  <c r="F142" i="16"/>
  <c r="L142" i="16"/>
  <c r="P142" i="16"/>
  <c r="R142" i="16"/>
  <c r="T142" i="16"/>
  <c r="U142" i="16"/>
  <c r="AB142" i="16"/>
  <c r="AG142" i="16"/>
  <c r="AK142" i="16"/>
  <c r="AS142" i="16"/>
  <c r="AW142" i="16"/>
  <c r="G140" i="16"/>
  <c r="G142" i="16" s="1"/>
  <c r="H140" i="16"/>
  <c r="I140" i="16"/>
  <c r="I142" i="16" s="1"/>
  <c r="J140" i="16"/>
  <c r="J142" i="16" s="1"/>
  <c r="K140" i="16"/>
  <c r="L140" i="16"/>
  <c r="M140" i="16"/>
  <c r="M142" i="16" s="1"/>
  <c r="N140" i="16"/>
  <c r="O140" i="16"/>
  <c r="O142" i="16" s="1"/>
  <c r="P140" i="16"/>
  <c r="Q140" i="16"/>
  <c r="R140" i="16"/>
  <c r="S140" i="16"/>
  <c r="S142" i="16" s="1"/>
  <c r="T140" i="16"/>
  <c r="U140" i="16"/>
  <c r="V140" i="16"/>
  <c r="W140" i="16"/>
  <c r="W142" i="16" s="1"/>
  <c r="X140" i="16"/>
  <c r="X142" i="16" s="1"/>
  <c r="Y140" i="16"/>
  <c r="Y142" i="16" s="1"/>
  <c r="Z140" i="16"/>
  <c r="Z142" i="16" s="1"/>
  <c r="AA140" i="16"/>
  <c r="AB140" i="16"/>
  <c r="AC140" i="16"/>
  <c r="AC142" i="16" s="1"/>
  <c r="AD140" i="16"/>
  <c r="AD142" i="16" s="1"/>
  <c r="AE140" i="16"/>
  <c r="AE142" i="16" s="1"/>
  <c r="AF140" i="16"/>
  <c r="AG140" i="16"/>
  <c r="AH140" i="16"/>
  <c r="AH142" i="16" s="1"/>
  <c r="AI140" i="16"/>
  <c r="AJ140" i="16"/>
  <c r="AJ142" i="16" s="1"/>
  <c r="AK140" i="16"/>
  <c r="AL140" i="16"/>
  <c r="AM140" i="16"/>
  <c r="AM142" i="16" s="1"/>
  <c r="AN140" i="16"/>
  <c r="AN142" i="16" s="1"/>
  <c r="AO140" i="16"/>
  <c r="AP140" i="16"/>
  <c r="AP142" i="16" s="1"/>
  <c r="AQ140" i="16"/>
  <c r="AQ142" i="16" s="1"/>
  <c r="AR140" i="16"/>
  <c r="AS140" i="16"/>
  <c r="AT140" i="16"/>
  <c r="AT142" i="16" s="1"/>
  <c r="AU140" i="16"/>
  <c r="AV140" i="16"/>
  <c r="AV142" i="16" s="1"/>
  <c r="AW140" i="16"/>
  <c r="AX140" i="16"/>
  <c r="AY140" i="16"/>
  <c r="AZ140" i="16"/>
  <c r="BA140" i="16"/>
  <c r="BB140" i="16"/>
  <c r="BC140" i="16"/>
  <c r="BD140" i="16"/>
  <c r="F140" i="16"/>
  <c r="BD11" i="16"/>
  <c r="BA11" i="16"/>
  <c r="AX11" i="16"/>
  <c r="AX142" i="16" s="1"/>
  <c r="AU11" i="16"/>
  <c r="AR11" i="16"/>
  <c r="AO11" i="16"/>
  <c r="AO142" i="16" s="1"/>
  <c r="AL11" i="16"/>
  <c r="AL142" i="16" s="1"/>
  <c r="V11" i="16"/>
  <c r="Q11" i="16"/>
  <c r="Q142" i="16" s="1"/>
  <c r="N11" i="16"/>
  <c r="N142" i="16" s="1"/>
  <c r="AN19" i="16" a="1"/>
  <c r="AM19" i="16"/>
  <c r="AO21" i="16"/>
  <c r="AO22" i="16"/>
  <c r="AO23" i="16"/>
  <c r="AO24" i="16"/>
  <c r="AO25" i="16"/>
  <c r="AO26" i="16"/>
  <c r="AO27" i="16"/>
  <c r="AO20" i="16"/>
  <c r="V19" i="16"/>
  <c r="S19" i="16"/>
  <c r="T19" i="16"/>
  <c r="U19" i="16"/>
  <c r="V21" i="16"/>
  <c r="V22" i="16"/>
  <c r="V23" i="16"/>
  <c r="V24" i="16"/>
  <c r="V25" i="16"/>
  <c r="V26" i="16"/>
  <c r="V27" i="16"/>
  <c r="V20" i="16"/>
  <c r="AR142" i="16" l="1"/>
  <c r="V142" i="16"/>
  <c r="AU142" i="16"/>
  <c r="B76" i="15"/>
  <c r="B77" i="15"/>
  <c r="AB109" i="17" l="1"/>
  <c r="AC109" i="17"/>
  <c r="AD109" i="17"/>
  <c r="AB108" i="17"/>
  <c r="AC108" i="17"/>
  <c r="AD108" i="17"/>
  <c r="BG51" i="1" l="1"/>
  <c r="BH51" i="1"/>
  <c r="BJ51" i="1"/>
  <c r="AP51" i="1"/>
  <c r="U51" i="1"/>
  <c r="X51" i="1"/>
  <c r="AA51" i="1"/>
  <c r="AD51" i="1"/>
  <c r="AG51" i="1"/>
  <c r="AJ51" i="1"/>
  <c r="O51" i="1"/>
  <c r="J51" i="1"/>
  <c r="L51" i="1"/>
  <c r="H51" i="1"/>
  <c r="BZ51" i="1"/>
  <c r="CA51" i="1" s="1"/>
  <c r="B76" i="29"/>
  <c r="B77" i="29"/>
  <c r="D76" i="30" l="1"/>
  <c r="D77" i="30"/>
  <c r="J20" i="32"/>
  <c r="J21" i="32"/>
  <c r="J22" i="32"/>
  <c r="J23" i="32"/>
  <c r="J24" i="32"/>
  <c r="J25" i="32"/>
  <c r="J26" i="32"/>
  <c r="J27" i="32"/>
  <c r="J28" i="32"/>
  <c r="J29" i="32"/>
  <c r="J30" i="32"/>
  <c r="J31" i="32"/>
  <c r="J32" i="32"/>
  <c r="J33" i="32"/>
  <c r="J34" i="32"/>
  <c r="J35" i="32"/>
  <c r="J36" i="32"/>
  <c r="J37" i="32"/>
  <c r="CC21" i="16" s="1"/>
  <c r="J38" i="32"/>
  <c r="J39" i="32"/>
  <c r="J40" i="32"/>
  <c r="J41" i="32"/>
  <c r="J42" i="32"/>
  <c r="J43" i="32"/>
  <c r="J44" i="32"/>
  <c r="J45" i="32"/>
  <c r="J46" i="32"/>
  <c r="J47" i="32"/>
  <c r="J48" i="32"/>
  <c r="J49" i="32"/>
  <c r="J50" i="32"/>
  <c r="J51" i="32"/>
  <c r="J52" i="32"/>
  <c r="J53" i="32"/>
  <c r="J54" i="32"/>
  <c r="J55" i="32"/>
  <c r="J56" i="32"/>
  <c r="J57" i="32"/>
  <c r="J58" i="32"/>
  <c r="J59" i="32"/>
  <c r="J60" i="32"/>
  <c r="J61" i="32"/>
  <c r="J62" i="32"/>
  <c r="J63" i="32"/>
  <c r="J64" i="32"/>
  <c r="J65" i="32"/>
  <c r="J66" i="32"/>
  <c r="J67" i="32"/>
  <c r="J68" i="32"/>
  <c r="J69" i="32"/>
  <c r="CC25" i="16" s="1"/>
  <c r="J70" i="32"/>
  <c r="J71" i="32"/>
  <c r="J72" i="32"/>
  <c r="J73" i="32"/>
  <c r="J74" i="32"/>
  <c r="J75" i="32"/>
  <c r="C76" i="45" l="1"/>
  <c r="C77" i="45"/>
  <c r="F5" i="18" l="1"/>
  <c r="C59" i="18"/>
  <c r="C60" i="18"/>
  <c r="C61" i="18"/>
  <c r="C62" i="18"/>
  <c r="C63" i="18"/>
  <c r="C64" i="18"/>
  <c r="C65" i="18"/>
  <c r="C66" i="18"/>
  <c r="C67" i="18"/>
  <c r="C68" i="18"/>
  <c r="C69" i="18"/>
  <c r="C70" i="18"/>
  <c r="C71" i="18"/>
  <c r="C72" i="18"/>
  <c r="C73" i="18"/>
  <c r="C74" i="18"/>
  <c r="C75" i="18"/>
  <c r="C76" i="18"/>
  <c r="C77" i="18"/>
  <c r="C78" i="18"/>
  <c r="C79" i="18"/>
  <c r="C80" i="18"/>
  <c r="C81" i="18"/>
  <c r="C82" i="18"/>
  <c r="C83" i="18"/>
  <c r="C84" i="18"/>
  <c r="C85" i="18"/>
  <c r="C86" i="18"/>
  <c r="C87" i="18"/>
  <c r="C88" i="18"/>
  <c r="C90" i="18"/>
  <c r="C91" i="18"/>
  <c r="C92" i="18"/>
  <c r="C93" i="18"/>
  <c r="C94" i="18"/>
  <c r="C95" i="18"/>
  <c r="C96" i="18"/>
  <c r="C97" i="18"/>
  <c r="C98" i="18"/>
  <c r="C99" i="18"/>
  <c r="C100" i="18"/>
  <c r="C101" i="18"/>
  <c r="C102" i="18"/>
  <c r="C103" i="18"/>
  <c r="C104" i="18"/>
  <c r="C105" i="18"/>
  <c r="C106" i="18"/>
  <c r="C107" i="18"/>
  <c r="C108" i="18"/>
  <c r="C109" i="18"/>
  <c r="C110" i="18"/>
  <c r="C111" i="18"/>
  <c r="C112" i="18"/>
  <c r="C113" i="18"/>
  <c r="C114" i="18"/>
  <c r="C115" i="18"/>
  <c r="C58" i="18"/>
  <c r="AA20" i="1" l="1"/>
  <c r="BX20" i="16"/>
  <c r="B76" i="45"/>
  <c r="B77" i="45"/>
  <c r="B76" i="28" l="1"/>
  <c r="B77" i="28"/>
  <c r="D73" i="14"/>
  <c r="D74" i="14"/>
  <c r="D75" i="14"/>
  <c r="D76" i="14"/>
  <c r="D77" i="14"/>
  <c r="D62" i="14"/>
  <c r="D63" i="14"/>
  <c r="D64" i="14"/>
  <c r="D65" i="14"/>
  <c r="D66" i="14"/>
  <c r="D67" i="14"/>
  <c r="D68" i="14"/>
  <c r="D69" i="14"/>
  <c r="D70" i="14"/>
  <c r="D71" i="14"/>
  <c r="D72" i="14"/>
  <c r="D55" i="14"/>
  <c r="D56" i="14"/>
  <c r="D57" i="14"/>
  <c r="D58" i="14"/>
  <c r="D59" i="14"/>
  <c r="D60" i="14"/>
  <c r="D61" i="14"/>
  <c r="D47" i="14"/>
  <c r="D48" i="14"/>
  <c r="D49" i="14"/>
  <c r="D50" i="14"/>
  <c r="D51" i="14"/>
  <c r="D52" i="14"/>
  <c r="D53" i="14"/>
  <c r="D54" i="14"/>
  <c r="D40" i="14"/>
  <c r="D41" i="14"/>
  <c r="D42" i="14"/>
  <c r="D43" i="14"/>
  <c r="D44" i="14"/>
  <c r="D45" i="14"/>
  <c r="D46" i="14"/>
  <c r="D32" i="14"/>
  <c r="D33" i="14"/>
  <c r="D34" i="14"/>
  <c r="D35" i="14"/>
  <c r="D36" i="14"/>
  <c r="D37" i="14"/>
  <c r="D38" i="14"/>
  <c r="D39" i="14"/>
  <c r="D22" i="14"/>
  <c r="D23" i="14"/>
  <c r="D24" i="14"/>
  <c r="D25" i="14"/>
  <c r="D26" i="14"/>
  <c r="D27" i="14"/>
  <c r="D28" i="14"/>
  <c r="D29" i="14"/>
  <c r="D30" i="14"/>
  <c r="D31" i="14"/>
  <c r="D21" i="14"/>
  <c r="D20" i="14"/>
  <c r="B76" i="30" l="1"/>
  <c r="B77" i="30"/>
  <c r="B76" i="13"/>
  <c r="B77" i="13"/>
  <c r="N20" i="13" a="1"/>
  <c r="N20" i="13"/>
  <c r="O20" i="13" a="1"/>
  <c r="O20" i="13" s="1"/>
  <c r="P20" i="13" a="1"/>
  <c r="P20" i="13"/>
  <c r="N21" i="13" a="1"/>
  <c r="N21" i="13" s="1"/>
  <c r="O21" i="13" a="1"/>
  <c r="O21" i="13"/>
  <c r="P21" i="13" a="1"/>
  <c r="P21" i="13" s="1"/>
  <c r="N22" i="13" a="1"/>
  <c r="N22" i="13"/>
  <c r="O22" i="13" a="1"/>
  <c r="O22" i="13" s="1"/>
  <c r="P22" i="13" a="1"/>
  <c r="P22" i="13"/>
  <c r="N23" i="13" a="1"/>
  <c r="N23" i="13" s="1"/>
  <c r="O23" i="13" a="1"/>
  <c r="O23" i="13"/>
  <c r="P23" i="13" a="1"/>
  <c r="P23" i="13" s="1"/>
  <c r="N24" i="13" a="1"/>
  <c r="N24" i="13"/>
  <c r="O24" i="13" a="1"/>
  <c r="O24" i="13" s="1"/>
  <c r="P24" i="13" a="1"/>
  <c r="P24" i="13"/>
  <c r="N25" i="13" a="1"/>
  <c r="N25" i="13" s="1"/>
  <c r="O25" i="13" a="1"/>
  <c r="O25" i="13"/>
  <c r="P25" i="13" a="1"/>
  <c r="P25" i="13" s="1"/>
  <c r="N26" i="13" a="1"/>
  <c r="N26" i="13"/>
  <c r="O26" i="13" a="1"/>
  <c r="O26" i="13" s="1"/>
  <c r="P26" i="13" a="1"/>
  <c r="P26" i="13" s="1"/>
  <c r="N27" i="13" a="1"/>
  <c r="N27" i="13" s="1"/>
  <c r="O27" i="13" a="1"/>
  <c r="O27" i="13"/>
  <c r="P27" i="13" a="1"/>
  <c r="P27" i="13" s="1"/>
  <c r="N28" i="13" a="1"/>
  <c r="N28" i="13" s="1"/>
  <c r="O28" i="13" a="1"/>
  <c r="O28" i="13" s="1"/>
  <c r="P28" i="13" a="1"/>
  <c r="P28" i="13"/>
  <c r="N29" i="13" a="1"/>
  <c r="N29" i="13" s="1"/>
  <c r="O29" i="13" a="1"/>
  <c r="O29" i="13" s="1"/>
  <c r="P29" i="13" a="1"/>
  <c r="P29" i="13" s="1"/>
  <c r="N30" i="13" a="1"/>
  <c r="N30" i="13"/>
  <c r="O30" i="13" a="1"/>
  <c r="O30" i="13" s="1"/>
  <c r="P30" i="13" a="1"/>
  <c r="P30" i="13" s="1"/>
  <c r="N31" i="13" a="1"/>
  <c r="N31" i="13" s="1"/>
  <c r="O31" i="13" a="1"/>
  <c r="O31" i="13"/>
  <c r="P31" i="13" a="1"/>
  <c r="P31" i="13" s="1"/>
  <c r="N32" i="13" a="1"/>
  <c r="N32" i="13" s="1"/>
  <c r="O32" i="13" a="1"/>
  <c r="O32" i="13" s="1"/>
  <c r="P32" i="13" a="1"/>
  <c r="P32" i="13"/>
  <c r="N33" i="13" a="1"/>
  <c r="N33" i="13" s="1"/>
  <c r="O33" i="13" a="1"/>
  <c r="O33" i="13" s="1"/>
  <c r="P33" i="13" a="1"/>
  <c r="P33" i="13" s="1"/>
  <c r="N34" i="13" a="1"/>
  <c r="N34" i="13"/>
  <c r="O34" i="13" a="1"/>
  <c r="O34" i="13" s="1"/>
  <c r="P34" i="13" a="1"/>
  <c r="P34" i="13" s="1"/>
  <c r="N35" i="13" a="1"/>
  <c r="N35" i="13" s="1"/>
  <c r="O35" i="13" a="1"/>
  <c r="O35" i="13"/>
  <c r="P35" i="13" a="1"/>
  <c r="P35" i="13" s="1"/>
  <c r="N36" i="13" a="1"/>
  <c r="N36" i="13" s="1"/>
  <c r="O36" i="13" a="1"/>
  <c r="O36" i="13" s="1"/>
  <c r="P36" i="13" a="1"/>
  <c r="P36" i="13"/>
  <c r="N37" i="13" a="1"/>
  <c r="N37" i="13" s="1"/>
  <c r="O37" i="13" a="1"/>
  <c r="O37" i="13" s="1"/>
  <c r="P37" i="13" a="1"/>
  <c r="P37" i="13" s="1"/>
  <c r="N38" i="13" a="1"/>
  <c r="N38" i="13"/>
  <c r="O38" i="13" a="1"/>
  <c r="O38" i="13" s="1"/>
  <c r="P38" i="13" a="1"/>
  <c r="P38" i="13" s="1"/>
  <c r="N39" i="13" a="1"/>
  <c r="N39" i="13" s="1"/>
  <c r="O39" i="13" a="1"/>
  <c r="O39" i="13"/>
  <c r="P39" i="13" a="1"/>
  <c r="P39" i="13" s="1"/>
  <c r="N40" i="13" a="1"/>
  <c r="N40" i="13" s="1"/>
  <c r="O40" i="13" a="1"/>
  <c r="O40" i="13" s="1"/>
  <c r="P40" i="13" a="1"/>
  <c r="P40" i="13"/>
  <c r="N41" i="13" a="1"/>
  <c r="N41" i="13" s="1"/>
  <c r="O41" i="13" a="1"/>
  <c r="O41" i="13" s="1"/>
  <c r="P41" i="13" a="1"/>
  <c r="P41" i="13" s="1"/>
  <c r="N42" i="13" a="1"/>
  <c r="N42" i="13"/>
  <c r="O42" i="13" a="1"/>
  <c r="O42" i="13" s="1"/>
  <c r="P42" i="13" a="1"/>
  <c r="P42" i="13" s="1"/>
  <c r="N43" i="13" a="1"/>
  <c r="N43" i="13" s="1"/>
  <c r="O43" i="13" a="1"/>
  <c r="O43" i="13"/>
  <c r="P43" i="13" a="1"/>
  <c r="P43" i="13" s="1"/>
  <c r="N44" i="13" a="1"/>
  <c r="N44" i="13" s="1"/>
  <c r="O44" i="13" a="1"/>
  <c r="O44" i="13" s="1"/>
  <c r="P44" i="13" a="1"/>
  <c r="P44" i="13"/>
  <c r="N45" i="13" a="1"/>
  <c r="N45" i="13" s="1"/>
  <c r="O45" i="13" a="1"/>
  <c r="O45" i="13" s="1"/>
  <c r="P45" i="13" a="1"/>
  <c r="P45" i="13" s="1"/>
  <c r="N46" i="13" a="1"/>
  <c r="N46" i="13"/>
  <c r="O46" i="13" a="1"/>
  <c r="O46" i="13" s="1"/>
  <c r="P46" i="13" a="1"/>
  <c r="P46" i="13" s="1"/>
  <c r="N47" i="13" a="1"/>
  <c r="N47" i="13" s="1"/>
  <c r="O47" i="13" a="1"/>
  <c r="O47" i="13"/>
  <c r="P47" i="13" a="1"/>
  <c r="P47" i="13" s="1"/>
  <c r="N48" i="13" a="1"/>
  <c r="N48" i="13" s="1"/>
  <c r="O48" i="13" a="1"/>
  <c r="O48" i="13" s="1"/>
  <c r="P48" i="13" a="1"/>
  <c r="P48" i="13"/>
  <c r="N49" i="13" a="1"/>
  <c r="N49" i="13" s="1"/>
  <c r="O49" i="13" a="1"/>
  <c r="O49" i="13" s="1"/>
  <c r="P49" i="13" a="1"/>
  <c r="P49" i="13" s="1"/>
  <c r="N50" i="13" a="1"/>
  <c r="N50" i="13"/>
  <c r="O50" i="13" a="1"/>
  <c r="O50" i="13" s="1"/>
  <c r="P50" i="13" a="1"/>
  <c r="P50" i="13" s="1"/>
  <c r="N51" i="13" a="1"/>
  <c r="N51" i="13" s="1"/>
  <c r="O51" i="13" a="1"/>
  <c r="O51" i="13"/>
  <c r="P51" i="13" a="1"/>
  <c r="P51" i="13" s="1"/>
  <c r="N52" i="13" a="1"/>
  <c r="N52" i="13" s="1"/>
  <c r="O52" i="13" a="1"/>
  <c r="O52" i="13" s="1"/>
  <c r="P52" i="13" a="1"/>
  <c r="P52" i="13"/>
  <c r="N53" i="13" a="1"/>
  <c r="N53" i="13" s="1"/>
  <c r="O53" i="13" a="1"/>
  <c r="O53" i="13" s="1"/>
  <c r="P53" i="13" a="1"/>
  <c r="P53" i="13" s="1"/>
  <c r="N54" i="13" a="1"/>
  <c r="N54" i="13"/>
  <c r="O54" i="13" a="1"/>
  <c r="O54" i="13" s="1"/>
  <c r="P54" i="13" a="1"/>
  <c r="P54" i="13" s="1"/>
  <c r="N55" i="13" a="1"/>
  <c r="N55" i="13" s="1"/>
  <c r="O55" i="13" a="1"/>
  <c r="O55" i="13"/>
  <c r="P55" i="13" a="1"/>
  <c r="P55" i="13" s="1"/>
  <c r="N56" i="13" a="1"/>
  <c r="N56" i="13" s="1"/>
  <c r="O56" i="13" a="1"/>
  <c r="O56" i="13" s="1"/>
  <c r="P56" i="13" a="1"/>
  <c r="P56" i="13"/>
  <c r="N57" i="13" a="1"/>
  <c r="N57" i="13" s="1"/>
  <c r="O57" i="13" a="1"/>
  <c r="O57" i="13" s="1"/>
  <c r="P57" i="13" a="1"/>
  <c r="P57" i="13" s="1"/>
  <c r="N58" i="13" a="1"/>
  <c r="N58" i="13"/>
  <c r="O58" i="13" a="1"/>
  <c r="O58" i="13" s="1"/>
  <c r="P58" i="13" a="1"/>
  <c r="P58" i="13" s="1"/>
  <c r="N59" i="13" a="1"/>
  <c r="N59" i="13" s="1"/>
  <c r="O59" i="13" a="1"/>
  <c r="O59" i="13"/>
  <c r="P59" i="13" a="1"/>
  <c r="P59" i="13" s="1"/>
  <c r="N60" i="13" a="1"/>
  <c r="N60" i="13" s="1"/>
  <c r="O60" i="13" a="1"/>
  <c r="O60" i="13" s="1"/>
  <c r="P60" i="13" a="1"/>
  <c r="P60" i="13"/>
  <c r="N61" i="13" a="1"/>
  <c r="N61" i="13" s="1"/>
  <c r="O61" i="13" a="1"/>
  <c r="O61" i="13" s="1"/>
  <c r="P61" i="13" a="1"/>
  <c r="P61" i="13" s="1"/>
  <c r="N62" i="13" a="1"/>
  <c r="N62" i="13"/>
  <c r="O62" i="13" a="1"/>
  <c r="O62" i="13" s="1"/>
  <c r="P62" i="13" a="1"/>
  <c r="P62" i="13" s="1"/>
  <c r="N63" i="13" a="1"/>
  <c r="N63" i="13" s="1"/>
  <c r="O63" i="13" a="1"/>
  <c r="O63" i="13"/>
  <c r="P63" i="13" a="1"/>
  <c r="P63" i="13" s="1"/>
  <c r="N64" i="13" a="1"/>
  <c r="N64" i="13" s="1"/>
  <c r="O64" i="13" a="1"/>
  <c r="O64" i="13" s="1"/>
  <c r="P64" i="13" a="1"/>
  <c r="P64" i="13"/>
  <c r="N65" i="13" a="1"/>
  <c r="N65" i="13" s="1"/>
  <c r="O65" i="13" a="1"/>
  <c r="O65" i="13" s="1"/>
  <c r="P65" i="13" a="1"/>
  <c r="P65" i="13" s="1"/>
  <c r="N66" i="13" a="1"/>
  <c r="N66" i="13"/>
  <c r="O66" i="13" a="1"/>
  <c r="O66" i="13" s="1"/>
  <c r="P66" i="13" a="1"/>
  <c r="P66" i="13" s="1"/>
  <c r="N67" i="13" a="1"/>
  <c r="N67" i="13" s="1"/>
  <c r="O67" i="13" a="1"/>
  <c r="O67" i="13"/>
  <c r="P67" i="13" a="1"/>
  <c r="P67" i="13" s="1"/>
  <c r="N68" i="13" a="1"/>
  <c r="N68" i="13" s="1"/>
  <c r="O68" i="13" a="1"/>
  <c r="O68" i="13" s="1"/>
  <c r="P68" i="13" a="1"/>
  <c r="P68" i="13"/>
  <c r="N69" i="13" a="1"/>
  <c r="N69" i="13" s="1"/>
  <c r="O69" i="13" a="1"/>
  <c r="O69" i="13" s="1"/>
  <c r="P69" i="13" a="1"/>
  <c r="P69" i="13" s="1"/>
  <c r="N70" i="13" a="1"/>
  <c r="N70" i="13"/>
  <c r="O70" i="13" a="1"/>
  <c r="O70" i="13" s="1"/>
  <c r="P70" i="13" a="1"/>
  <c r="P70" i="13" s="1"/>
  <c r="N71" i="13" a="1"/>
  <c r="N71" i="13" s="1"/>
  <c r="O71" i="13" a="1"/>
  <c r="O71" i="13"/>
  <c r="P71" i="13" a="1"/>
  <c r="P71" i="13" s="1"/>
  <c r="N72" i="13" a="1"/>
  <c r="N72" i="13" s="1"/>
  <c r="O72" i="13" a="1"/>
  <c r="O72" i="13" s="1"/>
  <c r="P72" i="13" a="1"/>
  <c r="P72" i="13"/>
  <c r="N73" i="13" a="1"/>
  <c r="N73" i="13" s="1"/>
  <c r="O73" i="13" a="1"/>
  <c r="O73" i="13" s="1"/>
  <c r="P73" i="13" a="1"/>
  <c r="P73" i="13" s="1"/>
  <c r="N74" i="13" a="1"/>
  <c r="N74" i="13"/>
  <c r="O74" i="13" a="1"/>
  <c r="O74" i="13" s="1"/>
  <c r="P74" i="13" a="1"/>
  <c r="P74" i="13" s="1"/>
  <c r="N75" i="13" a="1"/>
  <c r="N75" i="13" s="1"/>
  <c r="O75" i="13" a="1"/>
  <c r="O75" i="13"/>
  <c r="P75" i="13" a="1"/>
  <c r="P75" i="13"/>
  <c r="N76" i="13" a="1"/>
  <c r="N76" i="13"/>
  <c r="O76" i="13" a="1"/>
  <c r="O76" i="13"/>
  <c r="P76" i="13" a="1"/>
  <c r="P76" i="13"/>
  <c r="N77" i="13" a="1"/>
  <c r="N77" i="13"/>
  <c r="O77" i="13" a="1"/>
  <c r="O77" i="13"/>
  <c r="P77" i="13" a="1"/>
  <c r="P77" i="13"/>
  <c r="F73" i="14" a="1"/>
  <c r="F73" i="14" s="1"/>
  <c r="F69" i="14" a="1"/>
  <c r="F69" i="14"/>
  <c r="F70" i="14" a="1"/>
  <c r="F70" i="14"/>
  <c r="F64" i="14" a="1"/>
  <c r="F64" i="14" s="1"/>
  <c r="F57" i="14" a="1"/>
  <c r="F57" i="14" s="1"/>
  <c r="F24" i="14" a="1"/>
  <c r="F24" i="14" s="1"/>
  <c r="B76" i="14"/>
  <c r="B77" i="14"/>
  <c r="CC20" i="17"/>
  <c r="AY78" i="1"/>
  <c r="AX108" i="1"/>
  <c r="AY108" i="1"/>
  <c r="AX111" i="1"/>
  <c r="AY111" i="1"/>
  <c r="AX112" i="1"/>
  <c r="AY112" i="1"/>
  <c r="AX116" i="1"/>
  <c r="AY116" i="1"/>
  <c r="AY113" i="1" l="1"/>
  <c r="AX113" i="1"/>
  <c r="DL73" i="1"/>
  <c r="DL74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C89" i="18" s="1"/>
  <c r="DL52" i="1"/>
  <c r="DL53" i="1"/>
  <c r="DL54" i="1"/>
  <c r="DL55" i="1"/>
  <c r="D76" i="13" l="1" a="1"/>
  <c r="D76" i="13" s="1"/>
  <c r="D77" i="13" a="1"/>
  <c r="D77" i="13" s="1"/>
  <c r="D77" i="1"/>
  <c r="B77" i="32" s="1"/>
  <c r="D76" i="1"/>
  <c r="B76" i="32" s="1"/>
  <c r="AM20" i="29"/>
  <c r="CF21" i="16" l="1"/>
  <c r="CF25" i="16"/>
  <c r="AC25" i="19" l="1"/>
  <c r="AC24" i="19"/>
  <c r="AC22" i="19"/>
  <c r="AC21" i="19"/>
  <c r="AB26" i="19"/>
  <c r="AB25" i="19"/>
  <c r="AB24" i="19"/>
  <c r="AB23" i="19"/>
  <c r="AB22" i="19"/>
  <c r="AB21" i="19"/>
  <c r="AC23" i="19" l="1"/>
  <c r="AB27" i="19"/>
  <c r="A73" i="24" l="1"/>
  <c r="A74" i="24"/>
  <c r="A47" i="24"/>
  <c r="A48" i="24"/>
  <c r="A73" i="28"/>
  <c r="A72" i="28"/>
  <c r="A47" i="28"/>
  <c r="A46" i="28"/>
  <c r="A72" i="15"/>
  <c r="A73" i="15"/>
  <c r="A47" i="15"/>
  <c r="CM11" i="16" l="1"/>
  <c r="BY24" i="1" l="1"/>
  <c r="BZ24" i="1"/>
  <c r="BY25" i="1"/>
  <c r="BZ25" i="1"/>
  <c r="BY26" i="1"/>
  <c r="BZ26" i="1"/>
  <c r="BY27" i="1"/>
  <c r="BZ27" i="1"/>
  <c r="CA27" i="1" s="1"/>
  <c r="BY28" i="1"/>
  <c r="BZ28" i="1"/>
  <c r="BV24" i="1"/>
  <c r="BW24" i="1"/>
  <c r="BV25" i="1"/>
  <c r="BW25" i="1"/>
  <c r="BV26" i="1"/>
  <c r="BW26" i="1"/>
  <c r="BV27" i="1"/>
  <c r="BW27" i="1"/>
  <c r="BV28" i="1"/>
  <c r="BW28" i="1"/>
  <c r="BV29" i="1"/>
  <c r="BW29" i="1"/>
  <c r="BR24" i="1"/>
  <c r="BR25" i="1"/>
  <c r="BR26" i="1"/>
  <c r="BR27" i="1"/>
  <c r="BR28" i="1"/>
  <c r="BR29" i="1"/>
  <c r="BN24" i="1"/>
  <c r="BO24" i="1"/>
  <c r="BN25" i="1"/>
  <c r="BO25" i="1"/>
  <c r="BN26" i="1"/>
  <c r="BO26" i="1"/>
  <c r="BN27" i="1"/>
  <c r="BO27" i="1"/>
  <c r="BN28" i="1"/>
  <c r="BO28" i="1"/>
  <c r="BN29" i="1"/>
  <c r="BO29" i="1"/>
  <c r="BJ24" i="1"/>
  <c r="BQ24" i="1" s="1"/>
  <c r="BK24" i="1"/>
  <c r="BL24" i="1"/>
  <c r="BJ25" i="1"/>
  <c r="BK25" i="1"/>
  <c r="BL25" i="1"/>
  <c r="BJ26" i="1"/>
  <c r="BQ26" i="1" s="1"/>
  <c r="BK26" i="1"/>
  <c r="BL26" i="1"/>
  <c r="BJ27" i="1"/>
  <c r="BK27" i="1"/>
  <c r="BL27" i="1"/>
  <c r="BJ28" i="1"/>
  <c r="BQ28" i="1" s="1"/>
  <c r="BK28" i="1"/>
  <c r="BL28" i="1"/>
  <c r="BJ29" i="1"/>
  <c r="BK29" i="1"/>
  <c r="BL29" i="1"/>
  <c r="BM29" i="1" s="1" a="1"/>
  <c r="BM29" i="1" s="1"/>
  <c r="BJ30" i="1"/>
  <c r="BK30" i="1"/>
  <c r="BL30" i="1"/>
  <c r="BJ31" i="1"/>
  <c r="BK31" i="1"/>
  <c r="BL31" i="1"/>
  <c r="BJ32" i="1"/>
  <c r="BK32" i="1"/>
  <c r="BL32" i="1"/>
  <c r="BJ33" i="1"/>
  <c r="BK33" i="1"/>
  <c r="BL33" i="1"/>
  <c r="BM33" i="1" s="1" a="1"/>
  <c r="BM33" i="1" s="1"/>
  <c r="BJ23" i="1"/>
  <c r="BG24" i="1"/>
  <c r="BH24" i="1"/>
  <c r="BG25" i="1"/>
  <c r="BH25" i="1"/>
  <c r="BG26" i="1"/>
  <c r="BH26" i="1"/>
  <c r="BG27" i="1"/>
  <c r="BH27" i="1"/>
  <c r="BG28" i="1"/>
  <c r="BH28" i="1"/>
  <c r="BG29" i="1"/>
  <c r="BH29" i="1"/>
  <c r="BQ29" i="1" l="1"/>
  <c r="BQ25" i="1"/>
  <c r="BQ27" i="1"/>
  <c r="BM25" i="1" a="1"/>
  <c r="BM25" i="1" s="1"/>
  <c r="BM28" i="1" a="1"/>
  <c r="BM28" i="1" s="1"/>
  <c r="BM24" i="1" a="1"/>
  <c r="BM24" i="1" s="1"/>
  <c r="BM32" i="1" a="1"/>
  <c r="BM32" i="1" s="1"/>
  <c r="BM30" i="1" a="1"/>
  <c r="BM30" i="1" s="1"/>
  <c r="BM26" i="1" a="1"/>
  <c r="BM26" i="1" s="1"/>
  <c r="BM31" i="1" a="1"/>
  <c r="BM31" i="1" s="1"/>
  <c r="BM27" i="1" a="1"/>
  <c r="BM27" i="1" s="1"/>
  <c r="CA25" i="1"/>
  <c r="CA28" i="1"/>
  <c r="CA26" i="1"/>
  <c r="CA24" i="1"/>
  <c r="AP24" i="1"/>
  <c r="AP25" i="1"/>
  <c r="AP26" i="1"/>
  <c r="AP27" i="1"/>
  <c r="AP28" i="1"/>
  <c r="AP29" i="1"/>
  <c r="AP30" i="1"/>
  <c r="AJ24" i="1"/>
  <c r="AJ25" i="1"/>
  <c r="AJ26" i="1"/>
  <c r="AJ27" i="1"/>
  <c r="AJ28" i="1"/>
  <c r="AJ29" i="1"/>
  <c r="AJ30" i="1"/>
  <c r="AG24" i="1"/>
  <c r="AG25" i="1"/>
  <c r="AG26" i="1"/>
  <c r="AG27" i="1"/>
  <c r="AG28" i="1"/>
  <c r="AG29" i="1"/>
  <c r="AG30" i="1"/>
  <c r="AG31" i="1"/>
  <c r="AG32" i="1"/>
  <c r="AA23" i="1"/>
  <c r="AA24" i="1"/>
  <c r="AA25" i="1"/>
  <c r="AA26" i="1"/>
  <c r="AA27" i="1"/>
  <c r="AA28" i="1"/>
  <c r="AA29" i="1"/>
  <c r="AA30" i="1"/>
  <c r="AA31" i="1"/>
  <c r="X22" i="1"/>
  <c r="X23" i="1"/>
  <c r="X24" i="1"/>
  <c r="X25" i="1"/>
  <c r="X26" i="1"/>
  <c r="X27" i="1"/>
  <c r="X28" i="1"/>
  <c r="U23" i="1"/>
  <c r="U24" i="1"/>
  <c r="U25" i="1"/>
  <c r="U26" i="1"/>
  <c r="U27" i="1"/>
  <c r="U28" i="1"/>
  <c r="U29" i="1"/>
  <c r="U30" i="1"/>
  <c r="O23" i="1"/>
  <c r="O24" i="1"/>
  <c r="O25" i="1"/>
  <c r="O26" i="1"/>
  <c r="O27" i="1"/>
  <c r="O28" i="1"/>
  <c r="O29" i="1"/>
  <c r="O30" i="1"/>
  <c r="L23" i="1"/>
  <c r="L24" i="1"/>
  <c r="L25" i="1"/>
  <c r="L26" i="1"/>
  <c r="L27" i="1"/>
  <c r="L28" i="1"/>
  <c r="L29" i="1"/>
  <c r="L30" i="1"/>
  <c r="D24" i="1"/>
  <c r="DM24" i="1" s="1"/>
  <c r="D25" i="1"/>
  <c r="DM25" i="1" s="1"/>
  <c r="D26" i="1"/>
  <c r="DM26" i="1" s="1"/>
  <c r="D27" i="1"/>
  <c r="DM27" i="1" s="1"/>
  <c r="D28" i="1"/>
  <c r="DM28" i="1" s="1"/>
  <c r="D29" i="1"/>
  <c r="DM29" i="1" s="1"/>
  <c r="J23" i="1"/>
  <c r="J24" i="1"/>
  <c r="J25" i="1"/>
  <c r="J26" i="1"/>
  <c r="J27" i="1"/>
  <c r="J28" i="1"/>
  <c r="J29" i="1"/>
  <c r="J30" i="1"/>
  <c r="J31" i="1"/>
  <c r="J32" i="1"/>
  <c r="J33" i="1"/>
  <c r="H21" i="1"/>
  <c r="H22" i="1"/>
  <c r="H23" i="1"/>
  <c r="H24" i="1"/>
  <c r="H25" i="1"/>
  <c r="H26" i="1"/>
  <c r="H27" i="1"/>
  <c r="H28" i="1"/>
  <c r="H29" i="1"/>
  <c r="H30" i="1"/>
  <c r="H31" i="1"/>
  <c r="H32" i="1"/>
  <c r="AD37" i="1" l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32" i="1"/>
  <c r="AD33" i="1"/>
  <c r="AD34" i="1"/>
  <c r="AD35" i="1"/>
  <c r="AD36" i="1"/>
  <c r="AD21" i="1"/>
  <c r="AD22" i="1"/>
  <c r="AD23" i="1"/>
  <c r="AD24" i="1"/>
  <c r="AD25" i="1"/>
  <c r="AD26" i="1"/>
  <c r="AD27" i="1"/>
  <c r="AD28" i="1"/>
  <c r="AD29" i="1"/>
  <c r="AD30" i="1"/>
  <c r="AD31" i="1"/>
  <c r="AD20" i="1"/>
  <c r="AM73" i="14" l="1" a="1"/>
  <c r="AM73" i="14" s="1"/>
  <c r="AN73" i="14" a="1"/>
  <c r="AN73" i="14" s="1"/>
  <c r="AO73" i="14" a="1"/>
  <c r="AO73" i="14" s="1"/>
  <c r="AP73" i="14" a="1"/>
  <c r="AP73" i="14" s="1"/>
  <c r="AQ73" i="14" a="1"/>
  <c r="AQ73" i="14" s="1"/>
  <c r="AR73" i="14" a="1"/>
  <c r="AR73" i="14" s="1"/>
  <c r="AS73" i="14" a="1"/>
  <c r="AS73" i="14" s="1"/>
  <c r="AT73" i="14" a="1"/>
  <c r="AT73" i="14" s="1"/>
  <c r="BF76" i="1" l="1"/>
  <c r="BF77" i="1"/>
  <c r="BF78" i="1"/>
  <c r="AN78" i="1" l="1"/>
  <c r="H73" i="1" l="1"/>
  <c r="J73" i="1"/>
  <c r="K73" i="1"/>
  <c r="L73" i="1"/>
  <c r="N73" i="1"/>
  <c r="O73" i="1"/>
  <c r="U73" i="1"/>
  <c r="X73" i="1"/>
  <c r="AA73" i="1"/>
  <c r="AG73" i="1"/>
  <c r="AJ73" i="1"/>
  <c r="AO73" i="1"/>
  <c r="AP73" i="1"/>
  <c r="BG73" i="1"/>
  <c r="BH73" i="1"/>
  <c r="BJ73" i="1"/>
  <c r="BK73" i="1"/>
  <c r="BL73" i="1"/>
  <c r="BN73" i="1"/>
  <c r="BO73" i="1"/>
  <c r="BR73" i="1"/>
  <c r="BV73" i="1"/>
  <c r="BW73" i="1"/>
  <c r="BY73" i="1"/>
  <c r="BZ73" i="1"/>
  <c r="CA73" i="1" s="1"/>
  <c r="D73" i="1"/>
  <c r="DM73" i="1" s="1"/>
  <c r="D47" i="1"/>
  <c r="DM47" i="1" s="1"/>
  <c r="H47" i="1"/>
  <c r="J47" i="1"/>
  <c r="L47" i="1"/>
  <c r="O47" i="1"/>
  <c r="U47" i="1"/>
  <c r="X47" i="1"/>
  <c r="AA47" i="1"/>
  <c r="AG47" i="1"/>
  <c r="AJ47" i="1"/>
  <c r="AP47" i="1"/>
  <c r="BG47" i="1"/>
  <c r="BH47" i="1"/>
  <c r="BJ47" i="1"/>
  <c r="BK47" i="1"/>
  <c r="BL47" i="1"/>
  <c r="BN47" i="1"/>
  <c r="BO47" i="1"/>
  <c r="BR47" i="1"/>
  <c r="BV47" i="1"/>
  <c r="BW47" i="1"/>
  <c r="BY47" i="1"/>
  <c r="BZ47" i="1"/>
  <c r="CA47" i="1" s="1"/>
  <c r="BQ73" i="1" l="1"/>
  <c r="BQ47" i="1"/>
  <c r="BM73" i="1" a="1"/>
  <c r="BM73" i="1" s="1"/>
  <c r="BM47" i="1" a="1"/>
  <c r="BM47" i="1" s="1"/>
  <c r="M73" i="1"/>
  <c r="BX47" i="1"/>
  <c r="B48" i="24"/>
  <c r="B47" i="15"/>
  <c r="B47" i="28"/>
  <c r="B74" i="24"/>
  <c r="B73" i="28"/>
  <c r="B73" i="15"/>
  <c r="P73" i="1"/>
  <c r="BP47" i="1"/>
  <c r="BP73" i="1"/>
  <c r="BX73" i="1"/>
  <c r="AQ73" i="1"/>
  <c r="N21" i="32"/>
  <c r="N22" i="32"/>
  <c r="N23" i="32"/>
  <c r="N24" i="32"/>
  <c r="N25" i="32"/>
  <c r="N26" i="32"/>
  <c r="N27" i="32"/>
  <c r="N28" i="32"/>
  <c r="N29" i="32"/>
  <c r="N30" i="32"/>
  <c r="N31" i="32"/>
  <c r="N32" i="32"/>
  <c r="N33" i="32"/>
  <c r="N34" i="32"/>
  <c r="N35" i="32"/>
  <c r="N36" i="32"/>
  <c r="N37" i="32"/>
  <c r="N38" i="32"/>
  <c r="N39" i="32"/>
  <c r="N40" i="32"/>
  <c r="N41" i="32"/>
  <c r="N42" i="32"/>
  <c r="N43" i="32"/>
  <c r="N44" i="32"/>
  <c r="N45" i="32"/>
  <c r="N46" i="32"/>
  <c r="N47" i="32"/>
  <c r="N48" i="32"/>
  <c r="N49" i="32"/>
  <c r="N50" i="32"/>
  <c r="N51" i="32"/>
  <c r="N52" i="32"/>
  <c r="N53" i="32"/>
  <c r="N54" i="32"/>
  <c r="N55" i="32"/>
  <c r="N56" i="32"/>
  <c r="N57" i="32"/>
  <c r="N58" i="32"/>
  <c r="N59" i="32"/>
  <c r="N60" i="32"/>
  <c r="N61" i="32"/>
  <c r="N62" i="32"/>
  <c r="N63" i="32"/>
  <c r="N64" i="32"/>
  <c r="N65" i="32"/>
  <c r="N66" i="32"/>
  <c r="N67" i="32"/>
  <c r="N68" i="32"/>
  <c r="N69" i="32"/>
  <c r="N70" i="32"/>
  <c r="N71" i="32"/>
  <c r="N72" i="32"/>
  <c r="N73" i="32"/>
  <c r="N74" i="32"/>
  <c r="N75" i="32"/>
  <c r="N76" i="32"/>
  <c r="N77" i="32"/>
  <c r="N20" i="32"/>
  <c r="BS24" i="1"/>
  <c r="BS25" i="1"/>
  <c r="BS26" i="1"/>
  <c r="BS27" i="1"/>
  <c r="BS28" i="1"/>
  <c r="BS29" i="1"/>
  <c r="BS47" i="1"/>
  <c r="BT47" i="1" s="1"/>
  <c r="BU47" i="1" s="1"/>
  <c r="BS73" i="1"/>
  <c r="BT73" i="1" s="1"/>
  <c r="BU73" i="1" s="1"/>
  <c r="J76" i="32"/>
  <c r="J77" i="32"/>
  <c r="AW27" i="16" l="1"/>
  <c r="AV27" i="16"/>
  <c r="AW26" i="16"/>
  <c r="AV26" i="16"/>
  <c r="AW25" i="16"/>
  <c r="AV25" i="16"/>
  <c r="AW24" i="16"/>
  <c r="AV24" i="16"/>
  <c r="AW23" i="16"/>
  <c r="AV23" i="16"/>
  <c r="AW22" i="16"/>
  <c r="AV22" i="16"/>
  <c r="AW21" i="16"/>
  <c r="AV21" i="16"/>
  <c r="AW20" i="16"/>
  <c r="AV20" i="16"/>
  <c r="CE25" i="16" l="1"/>
  <c r="CE21" i="16"/>
  <c r="CB25" i="16"/>
  <c r="CB21" i="16"/>
  <c r="CB20" i="16"/>
  <c r="T73" i="45"/>
  <c r="A73" i="45"/>
  <c r="B73" i="45"/>
  <c r="M73" i="45"/>
  <c r="S73" i="45" s="1"/>
  <c r="U73" i="45" s="1"/>
  <c r="T47" i="45"/>
  <c r="A47" i="45"/>
  <c r="B47" i="45"/>
  <c r="M47" i="45"/>
  <c r="S47" i="45" s="1"/>
  <c r="U47" i="45" s="1"/>
  <c r="A73" i="29"/>
  <c r="B73" i="29"/>
  <c r="D73" i="29"/>
  <c r="AS73" i="1" s="1"/>
  <c r="A47" i="29"/>
  <c r="B47" i="29"/>
  <c r="D47" i="29"/>
  <c r="A47" i="30"/>
  <c r="B47" i="30"/>
  <c r="D47" i="30"/>
  <c r="Q47" i="30" s="1" a="1"/>
  <c r="Q47" i="30" s="1"/>
  <c r="A73" i="30"/>
  <c r="B73" i="30"/>
  <c r="D73" i="30"/>
  <c r="A73" i="13"/>
  <c r="B73" i="13"/>
  <c r="D73" i="13" a="1"/>
  <c r="D73" i="13" s="1"/>
  <c r="E73" i="13" a="1"/>
  <c r="E73" i="13" s="1"/>
  <c r="Q73" i="13" a="1"/>
  <c r="Q73" i="13" s="1"/>
  <c r="R73" i="13" a="1"/>
  <c r="R73" i="13" s="1"/>
  <c r="S73" i="13" a="1"/>
  <c r="S73" i="13" s="1"/>
  <c r="A47" i="13"/>
  <c r="B47" i="13"/>
  <c r="D47" i="13" a="1"/>
  <c r="D47" i="13" s="1"/>
  <c r="E47" i="13" a="1"/>
  <c r="E47" i="13" s="1"/>
  <c r="Q47" i="13" a="1"/>
  <c r="Q47" i="13" s="1"/>
  <c r="R47" i="13" a="1"/>
  <c r="R47" i="13" s="1"/>
  <c r="S47" i="13" a="1"/>
  <c r="S47" i="13" s="1"/>
  <c r="A73" i="14"/>
  <c r="B73" i="14"/>
  <c r="A47" i="14"/>
  <c r="B47" i="14"/>
  <c r="F47" i="14" a="1"/>
  <c r="F47" i="14" s="1"/>
  <c r="AA47" i="14" a="1"/>
  <c r="AA47" i="14" s="1"/>
  <c r="AB47" i="14" a="1"/>
  <c r="AB47" i="14" s="1"/>
  <c r="AC47" i="14" a="1"/>
  <c r="AC47" i="14" s="1"/>
  <c r="AD47" i="14" a="1"/>
  <c r="AD47" i="14" s="1"/>
  <c r="AI47" i="14" a="1"/>
  <c r="AI47" i="14" s="1"/>
  <c r="AJ47" i="14" a="1"/>
  <c r="AJ47" i="14" s="1"/>
  <c r="AK47" i="14" a="1"/>
  <c r="AK47" i="14" s="1"/>
  <c r="AL47" i="14" a="1"/>
  <c r="AL47" i="14" s="1"/>
  <c r="AM47" i="14" a="1"/>
  <c r="AM47" i="14" s="1"/>
  <c r="AN47" i="14" a="1"/>
  <c r="AN47" i="14" s="1"/>
  <c r="AO47" i="14" a="1"/>
  <c r="AO47" i="14" s="1"/>
  <c r="AP47" i="14" a="1"/>
  <c r="AP47" i="14" s="1"/>
  <c r="AQ47" i="14" a="1"/>
  <c r="AQ47" i="14" s="1"/>
  <c r="AR47" i="14" a="1"/>
  <c r="AR47" i="14" s="1"/>
  <c r="AS47" i="14" a="1"/>
  <c r="AS47" i="14" s="1"/>
  <c r="N47" i="1" s="1"/>
  <c r="P47" i="1" s="1"/>
  <c r="AT47" i="14" a="1"/>
  <c r="AT47" i="14" s="1"/>
  <c r="AO47" i="1" s="1"/>
  <c r="AQ47" i="1" s="1"/>
  <c r="A47" i="32"/>
  <c r="B47" i="32"/>
  <c r="C47" i="32"/>
  <c r="A73" i="32"/>
  <c r="C73" i="32"/>
  <c r="K47" i="1" l="1"/>
  <c r="M47" i="1" s="1"/>
  <c r="N73" i="45"/>
  <c r="C73" i="28"/>
  <c r="F73" i="28" s="1"/>
  <c r="C73" i="15"/>
  <c r="C47" i="45"/>
  <c r="C47" i="15"/>
  <c r="C47" i="28"/>
  <c r="F47" i="28" s="1"/>
  <c r="C73" i="1"/>
  <c r="C47" i="1"/>
  <c r="N47" i="45"/>
  <c r="Q73" i="29" a="1"/>
  <c r="Q73" i="29" s="1"/>
  <c r="Q73" i="30" a="1"/>
  <c r="Q73" i="30" s="1"/>
  <c r="BF73" i="1"/>
  <c r="BI73" i="1" s="1" a="1"/>
  <c r="BI73" i="1" s="1"/>
  <c r="BF47" i="1"/>
  <c r="C73" i="13"/>
  <c r="AS47" i="1"/>
  <c r="AU73" i="1"/>
  <c r="BC73" i="1"/>
  <c r="Q47" i="29" a="1"/>
  <c r="Q47" i="29" s="1"/>
  <c r="C73" i="45"/>
  <c r="C47" i="13"/>
  <c r="B73" i="32"/>
  <c r="AI20" i="16"/>
  <c r="AD47" i="15" l="1"/>
  <c r="AI47" i="15" s="1"/>
  <c r="AB47" i="15"/>
  <c r="AG47" i="15" s="1"/>
  <c r="AA47" i="15"/>
  <c r="AF47" i="15" s="1"/>
  <c r="AC47" i="15"/>
  <c r="AH47" i="15" s="1"/>
  <c r="AC73" i="15"/>
  <c r="AH73" i="15" s="1"/>
  <c r="AD73" i="15"/>
  <c r="AI73" i="15" s="1"/>
  <c r="AB73" i="15"/>
  <c r="AG73" i="15" s="1"/>
  <c r="AA73" i="15"/>
  <c r="AF73" i="15" s="1"/>
  <c r="O74" i="24" s="1"/>
  <c r="H47" i="15"/>
  <c r="I47" i="15"/>
  <c r="J47" i="15"/>
  <c r="K47" i="15"/>
  <c r="H73" i="15"/>
  <c r="K73" i="15"/>
  <c r="I73" i="15"/>
  <c r="J73" i="15"/>
  <c r="BK51" i="1"/>
  <c r="O48" i="24" l="1"/>
  <c r="E73" i="15"/>
  <c r="D73" i="15" s="1"/>
  <c r="E47" i="15"/>
  <c r="D47" i="15" s="1"/>
  <c r="N34" i="18"/>
  <c r="N32" i="18"/>
  <c r="N33" i="18"/>
  <c r="M34" i="18"/>
  <c r="N31" i="18"/>
  <c r="N30" i="18"/>
  <c r="M30" i="18"/>
  <c r="N28" i="18"/>
  <c r="AC20" i="19"/>
  <c r="N27" i="18" s="1"/>
  <c r="M33" i="18" l="1"/>
  <c r="M32" i="18" l="1"/>
  <c r="AB20" i="19" l="1"/>
  <c r="M27" i="18" s="1"/>
  <c r="N29" i="18" l="1"/>
  <c r="AI21" i="16" l="1"/>
  <c r="AI22" i="16"/>
  <c r="AI23" i="16"/>
  <c r="AI24" i="16"/>
  <c r="AI25" i="16"/>
  <c r="AI26" i="16"/>
  <c r="AI27" i="16"/>
  <c r="C77" i="28" l="1"/>
  <c r="F77" i="28" s="1"/>
  <c r="C76" i="28"/>
  <c r="F76" i="28" s="1"/>
  <c r="C77" i="15"/>
  <c r="C76" i="15"/>
  <c r="D76" i="15" l="1"/>
  <c r="AB76" i="15"/>
  <c r="AG76" i="15" s="1"/>
  <c r="F76" i="15"/>
  <c r="AA76" i="15"/>
  <c r="AF76" i="15" s="1"/>
  <c r="AD76" i="15"/>
  <c r="AI76" i="15" s="1"/>
  <c r="AC76" i="15"/>
  <c r="AH76" i="15" s="1"/>
  <c r="M76" i="28"/>
  <c r="L76" i="28"/>
  <c r="K77" i="24" s="1"/>
  <c r="P77" i="24" s="1"/>
  <c r="AC77" i="15"/>
  <c r="AH77" i="15" s="1"/>
  <c r="AA77" i="15"/>
  <c r="AF77" i="15" s="1"/>
  <c r="O78" i="24" s="1"/>
  <c r="AB77" i="15"/>
  <c r="AG77" i="15" s="1"/>
  <c r="AD77" i="15"/>
  <c r="AI77" i="15" s="1"/>
  <c r="H76" i="15"/>
  <c r="K76" i="15"/>
  <c r="I76" i="15"/>
  <c r="J76" i="15"/>
  <c r="H77" i="15"/>
  <c r="I77" i="15"/>
  <c r="J77" i="15"/>
  <c r="K77" i="15"/>
  <c r="BE78" i="1"/>
  <c r="O77" i="24" l="1"/>
  <c r="I19" i="29"/>
  <c r="E19" i="29"/>
  <c r="J19" i="29"/>
  <c r="F19" i="29"/>
  <c r="M31" i="18" l="1"/>
  <c r="C78" i="1" l="1"/>
  <c r="H78" i="1"/>
  <c r="J78" i="1"/>
  <c r="K78" i="1"/>
  <c r="L78" i="1"/>
  <c r="N78" i="1"/>
  <c r="O78" i="1"/>
  <c r="U78" i="1"/>
  <c r="X78" i="1"/>
  <c r="AA78" i="1"/>
  <c r="AG78" i="1"/>
  <c r="AJ78" i="1"/>
  <c r="AK78" i="1"/>
  <c r="AL78" i="1"/>
  <c r="AM78" i="1"/>
  <c r="AO78" i="1"/>
  <c r="AP78" i="1"/>
  <c r="AW78" i="1"/>
  <c r="AZ78" i="1" s="1"/>
  <c r="BG78" i="1"/>
  <c r="BH78" i="1"/>
  <c r="BJ78" i="1"/>
  <c r="BK78" i="1"/>
  <c r="BL78" i="1"/>
  <c r="BM78" i="1" s="1" a="1"/>
  <c r="BM78" i="1" s="1"/>
  <c r="BN78" i="1"/>
  <c r="BO78" i="1"/>
  <c r="BR78" i="1"/>
  <c r="BS78" i="1"/>
  <c r="BT78" i="1" s="1"/>
  <c r="BU78" i="1" s="1"/>
  <c r="BV78" i="1"/>
  <c r="BW78" i="1"/>
  <c r="BY78" i="1"/>
  <c r="BZ78" i="1"/>
  <c r="CA78" i="1" s="1"/>
  <c r="AQ78" i="1" l="1"/>
  <c r="BX78" i="1"/>
  <c r="P78" i="1"/>
  <c r="BP78" i="1"/>
  <c r="M78" i="1"/>
  <c r="M28" i="18"/>
  <c r="M29" i="18" l="1"/>
  <c r="BZ77" i="1" l="1"/>
  <c r="BY77" i="1"/>
  <c r="BW77" i="1"/>
  <c r="BV77" i="1"/>
  <c r="BS77" i="1"/>
  <c r="BR77" i="1"/>
  <c r="BO77" i="1"/>
  <c r="BN77" i="1"/>
  <c r="BL77" i="1"/>
  <c r="BK77" i="1"/>
  <c r="BJ77" i="1"/>
  <c r="BQ77" i="1" l="1"/>
  <c r="BM77" i="1" a="1"/>
  <c r="BM77" i="1" s="1"/>
  <c r="AI11" i="16"/>
  <c r="AI142" i="16" s="1"/>
  <c r="T19" i="49" l="1"/>
  <c r="G19" i="45"/>
  <c r="H19" i="45"/>
  <c r="I19" i="45"/>
  <c r="J19" i="45"/>
  <c r="K19" i="45"/>
  <c r="L19" i="45"/>
  <c r="E19" i="45"/>
  <c r="F19" i="45"/>
  <c r="D19" i="45"/>
  <c r="H19" i="28" l="1"/>
  <c r="L19" i="15"/>
  <c r="M19" i="15"/>
  <c r="N19" i="15"/>
  <c r="O19" i="15"/>
  <c r="P19" i="15"/>
  <c r="Q19" i="15"/>
  <c r="R19" i="15"/>
  <c r="S19" i="15"/>
  <c r="T19" i="15"/>
  <c r="U19" i="15"/>
  <c r="G19" i="15"/>
  <c r="P19" i="29"/>
  <c r="O19" i="29"/>
  <c r="N19" i="29"/>
  <c r="M19" i="29"/>
  <c r="L19" i="29"/>
  <c r="K19" i="29"/>
  <c r="H19" i="29"/>
  <c r="G19" i="29"/>
  <c r="P19" i="30"/>
  <c r="O19" i="30"/>
  <c r="N19" i="30"/>
  <c r="M19" i="30"/>
  <c r="L19" i="30"/>
  <c r="K19" i="30"/>
  <c r="J19" i="30"/>
  <c r="I19" i="30"/>
  <c r="H19" i="30"/>
  <c r="G19" i="30"/>
  <c r="F19" i="30"/>
  <c r="E19" i="30"/>
  <c r="M19" i="13"/>
  <c r="P19" i="13" s="1" a="1"/>
  <c r="P19" i="13" s="1"/>
  <c r="L19" i="13"/>
  <c r="O19" i="13" s="1" a="1"/>
  <c r="O19" i="13" s="1"/>
  <c r="K19" i="13"/>
  <c r="J19" i="13"/>
  <c r="I19" i="13"/>
  <c r="H19" i="13"/>
  <c r="G19" i="13"/>
  <c r="F19" i="13"/>
  <c r="F19" i="32"/>
  <c r="E19" i="32"/>
  <c r="W19" i="32"/>
  <c r="V19" i="32"/>
  <c r="S19" i="32"/>
  <c r="T19" i="32"/>
  <c r="Q19" i="32"/>
  <c r="P19" i="32"/>
  <c r="O19" i="32"/>
  <c r="L19" i="32"/>
  <c r="K19" i="32"/>
  <c r="I19" i="32"/>
  <c r="G19" i="32"/>
  <c r="W19" i="15" l="1" a="1"/>
  <c r="W19" i="15" s="1"/>
  <c r="Z19" i="15" a="1"/>
  <c r="Z19" i="15" s="1"/>
  <c r="X19" i="15" a="1"/>
  <c r="X19" i="15" s="1"/>
  <c r="V19" i="15" a="1"/>
  <c r="V19" i="15" s="1"/>
  <c r="Y19" i="15" a="1"/>
  <c r="Y19" i="15" s="1"/>
  <c r="N19" i="13" a="1"/>
  <c r="N19" i="13" s="1"/>
  <c r="M19" i="14"/>
  <c r="N19" i="14"/>
  <c r="O19" i="14"/>
  <c r="P19" i="14"/>
  <c r="Q19" i="14"/>
  <c r="R19" i="14"/>
  <c r="S19" i="14"/>
  <c r="T19" i="14"/>
  <c r="U19" i="14"/>
  <c r="V19" i="14"/>
  <c r="W19" i="14"/>
  <c r="X19" i="14"/>
  <c r="Y19" i="14"/>
  <c r="Z19" i="14"/>
  <c r="L19" i="14"/>
  <c r="H19" i="14"/>
  <c r="I19" i="14"/>
  <c r="J19" i="14"/>
  <c r="K19" i="14"/>
  <c r="G19" i="14"/>
  <c r="AE19" i="15" l="1"/>
  <c r="F20" i="24"/>
  <c r="H20" i="24"/>
  <c r="J20" i="24"/>
  <c r="I20" i="24"/>
  <c r="G20" i="24"/>
  <c r="G19" i="28"/>
  <c r="D5" i="18" l="1"/>
  <c r="E5" i="18"/>
  <c r="DL76" i="1" l="1"/>
  <c r="DM76" i="1"/>
  <c r="DL77" i="1"/>
  <c r="DM77" i="1"/>
  <c r="B77" i="24" l="1"/>
  <c r="B78" i="24"/>
  <c r="BJ76" i="1"/>
  <c r="BK76" i="1"/>
  <c r="BL76" i="1"/>
  <c r="BM76" i="1" s="1" a="1"/>
  <c r="BM76" i="1" s="1"/>
  <c r="BN76" i="1"/>
  <c r="BQ76" i="1" s="1"/>
  <c r="BO76" i="1"/>
  <c r="BR76" i="1"/>
  <c r="BW76" i="1"/>
  <c r="BY76" i="1"/>
  <c r="BZ76" i="1"/>
  <c r="S77" i="13" a="1"/>
  <c r="S77" i="13" s="1"/>
  <c r="AM77" i="1" s="1"/>
  <c r="R77" i="13" a="1"/>
  <c r="R77" i="13" s="1"/>
  <c r="AL77" i="1" s="1"/>
  <c r="Q77" i="13" a="1"/>
  <c r="Q77" i="13" s="1"/>
  <c r="AK77" i="1" s="1"/>
  <c r="E77" i="13" a="1"/>
  <c r="E77" i="13" s="1"/>
  <c r="S76" i="13" a="1"/>
  <c r="S76" i="13" s="1"/>
  <c r="R76" i="13" a="1"/>
  <c r="R76" i="13" s="1"/>
  <c r="Q76" i="13" a="1"/>
  <c r="Q76" i="13" s="1"/>
  <c r="E76" i="13" a="1"/>
  <c r="E76" i="13" s="1"/>
  <c r="AT77" i="14" a="1"/>
  <c r="AT77" i="14" s="1"/>
  <c r="AO77" i="1" s="1"/>
  <c r="AS77" i="14" a="1"/>
  <c r="AS77" i="14" s="1"/>
  <c r="N77" i="1" s="1"/>
  <c r="AR77" i="14" a="1"/>
  <c r="AR77" i="14" s="1"/>
  <c r="AQ77" i="14" a="1"/>
  <c r="AQ77" i="14" s="1"/>
  <c r="AP77" i="14" a="1"/>
  <c r="AP77" i="14" s="1"/>
  <c r="AO77" i="14" a="1"/>
  <c r="AO77" i="14" s="1"/>
  <c r="AN77" i="14" a="1"/>
  <c r="AN77" i="14" s="1"/>
  <c r="AM77" i="14" a="1"/>
  <c r="AM77" i="14" s="1"/>
  <c r="AL77" i="14" a="1"/>
  <c r="AL77" i="14" s="1"/>
  <c r="AK77" i="14" a="1"/>
  <c r="AK77" i="14" s="1"/>
  <c r="AJ77" i="14" a="1"/>
  <c r="AJ77" i="14" s="1"/>
  <c r="AI77" i="14" a="1"/>
  <c r="AI77" i="14" s="1"/>
  <c r="AD77" i="14" a="1"/>
  <c r="AD77" i="14" s="1"/>
  <c r="AC77" i="14" a="1"/>
  <c r="AC77" i="14" s="1"/>
  <c r="AB77" i="14" a="1"/>
  <c r="AB77" i="14" s="1"/>
  <c r="AA77" i="14" a="1"/>
  <c r="AA77" i="14" s="1"/>
  <c r="F77" i="14" a="1"/>
  <c r="F77" i="14" s="1"/>
  <c r="AT76" i="14" a="1"/>
  <c r="AT76" i="14" s="1"/>
  <c r="AO76" i="1" s="1"/>
  <c r="AS76" i="14" a="1"/>
  <c r="AS76" i="14" s="1"/>
  <c r="N76" i="1" s="1"/>
  <c r="AR76" i="14" a="1"/>
  <c r="AR76" i="14" s="1"/>
  <c r="AQ76" i="14" a="1"/>
  <c r="AQ76" i="14" s="1"/>
  <c r="AP76" i="14" a="1"/>
  <c r="AP76" i="14" s="1"/>
  <c r="AO76" i="14" a="1"/>
  <c r="AO76" i="14" s="1"/>
  <c r="AN76" i="14" a="1"/>
  <c r="AN76" i="14" s="1"/>
  <c r="AM76" i="14" a="1"/>
  <c r="AM76" i="14" s="1"/>
  <c r="AL76" i="14" a="1"/>
  <c r="AL76" i="14" s="1"/>
  <c r="AK76" i="14" a="1"/>
  <c r="AK76" i="14" s="1"/>
  <c r="AJ76" i="14" a="1"/>
  <c r="AJ76" i="14" s="1"/>
  <c r="AI76" i="14" a="1"/>
  <c r="AI76" i="14" s="1"/>
  <c r="AD76" i="14" a="1"/>
  <c r="AD76" i="14" s="1"/>
  <c r="AC76" i="14" a="1"/>
  <c r="AC76" i="14" s="1"/>
  <c r="AB76" i="14" a="1"/>
  <c r="AB76" i="14" s="1"/>
  <c r="AA76" i="14" a="1"/>
  <c r="AA76" i="14" s="1"/>
  <c r="F76" i="14" a="1"/>
  <c r="F76" i="14" s="1"/>
  <c r="BP77" i="1"/>
  <c r="BH77" i="1"/>
  <c r="BG77" i="1"/>
  <c r="AP77" i="1"/>
  <c r="AJ77" i="1"/>
  <c r="AG77" i="1"/>
  <c r="AA77" i="1"/>
  <c r="X77" i="1"/>
  <c r="U77" i="1"/>
  <c r="O77" i="1"/>
  <c r="L77" i="1"/>
  <c r="J77" i="1"/>
  <c r="H77" i="1"/>
  <c r="BH76" i="1"/>
  <c r="BG76" i="1"/>
  <c r="AP76" i="1"/>
  <c r="AJ76" i="1"/>
  <c r="AG76" i="1"/>
  <c r="AA76" i="1"/>
  <c r="X76" i="1"/>
  <c r="U76" i="1"/>
  <c r="O76" i="1"/>
  <c r="L76" i="1"/>
  <c r="J76" i="1"/>
  <c r="H76" i="1"/>
  <c r="C76" i="13" l="1"/>
  <c r="AQ76" i="1"/>
  <c r="AQ77" i="1"/>
  <c r="P77" i="1"/>
  <c r="BP76" i="1"/>
  <c r="CA77" i="1"/>
  <c r="CA76" i="1"/>
  <c r="K76" i="1"/>
  <c r="M76" i="1" s="1"/>
  <c r="K77" i="1"/>
  <c r="M77" i="1" s="1"/>
  <c r="D76" i="28"/>
  <c r="C77" i="13"/>
  <c r="AN77" i="1" s="1"/>
  <c r="P76" i="1"/>
  <c r="C77" i="32"/>
  <c r="C76" i="32"/>
  <c r="Q77" i="30" a="1"/>
  <c r="Q77" i="30" s="1"/>
  <c r="Q76" i="30" a="1"/>
  <c r="Q76" i="30" s="1"/>
  <c r="C76" i="1" l="1"/>
  <c r="C77" i="1"/>
  <c r="BT77" i="1"/>
  <c r="BU77" i="1" s="1"/>
  <c r="BS76" i="1"/>
  <c r="BT76" i="1" s="1"/>
  <c r="BU76" i="1" s="1"/>
  <c r="BX77" i="1"/>
  <c r="BV76" i="1"/>
  <c r="D77" i="29"/>
  <c r="D76" i="29"/>
  <c r="BX76" i="1" l="1"/>
  <c r="C77" i="30"/>
  <c r="C77" i="29"/>
  <c r="C77" i="14"/>
  <c r="C76" i="29"/>
  <c r="C76" i="30"/>
  <c r="C76" i="14"/>
  <c r="AS76" i="1"/>
  <c r="BC76" i="1" s="1"/>
  <c r="Q77" i="29" a="1"/>
  <c r="Q77" i="29" s="1"/>
  <c r="AS77" i="1"/>
  <c r="Q76" i="29" a="1"/>
  <c r="Q76" i="29" s="1"/>
  <c r="E76" i="15"/>
  <c r="AU76" i="1" l="1"/>
  <c r="E77" i="14"/>
  <c r="AE77" i="14"/>
  <c r="AG77" i="14"/>
  <c r="AH77" i="14"/>
  <c r="AF77" i="14"/>
  <c r="E76" i="14"/>
  <c r="AE76" i="14"/>
  <c r="AG76" i="14"/>
  <c r="AF76" i="14"/>
  <c r="AH76" i="14"/>
  <c r="T77" i="45"/>
  <c r="T76" i="45"/>
  <c r="D77" i="24" l="1"/>
  <c r="E77" i="15"/>
  <c r="D77" i="15" s="1"/>
  <c r="M77" i="45"/>
  <c r="M76" i="45"/>
  <c r="C77" i="24" l="1"/>
  <c r="CJ76" i="1"/>
  <c r="N76" i="45"/>
  <c r="S76" i="45"/>
  <c r="N77" i="45"/>
  <c r="S77" i="45"/>
  <c r="U77" i="45" l="1"/>
  <c r="K115" i="18" s="1"/>
  <c r="U76" i="45"/>
  <c r="K114" i="18" s="1"/>
  <c r="J115" i="18"/>
  <c r="J114" i="18"/>
  <c r="A22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4" i="13"/>
  <c r="A75" i="13"/>
  <c r="U27" i="19" l="1"/>
  <c r="T27" i="19"/>
  <c r="CG28" i="16" a="1"/>
  <c r="CG28" i="16" s="1"/>
  <c r="CG29" i="16" a="1"/>
  <c r="CG29" i="16" s="1"/>
  <c r="CG30" i="16" a="1"/>
  <c r="CG30" i="16" s="1"/>
  <c r="CG31" i="16" a="1"/>
  <c r="CG31" i="16" s="1"/>
  <c r="CG32" i="16" a="1"/>
  <c r="CG32" i="16" s="1"/>
  <c r="CG33" i="16" a="1"/>
  <c r="CG33" i="16" s="1"/>
  <c r="CG34" i="16" a="1"/>
  <c r="CG34" i="16" s="1"/>
  <c r="CG35" i="16" a="1"/>
  <c r="CG35" i="16" s="1"/>
  <c r="CG36" i="16" a="1"/>
  <c r="CG36" i="16" s="1"/>
  <c r="CG37" i="16" a="1"/>
  <c r="CG37" i="16" s="1"/>
  <c r="CG38" i="16" a="1"/>
  <c r="CG38" i="16" s="1"/>
  <c r="CG39" i="16" a="1"/>
  <c r="CG39" i="16" s="1"/>
  <c r="CG40" i="16" a="1"/>
  <c r="CG40" i="16" s="1"/>
  <c r="CG41" i="16" a="1"/>
  <c r="CG41" i="16" s="1"/>
  <c r="CG42" i="16" a="1"/>
  <c r="CG42" i="16" s="1"/>
  <c r="CG43" i="16" a="1"/>
  <c r="CG43" i="16" s="1"/>
  <c r="CG44" i="16" a="1"/>
  <c r="CG44" i="16" s="1"/>
  <c r="CG45" i="16" a="1"/>
  <c r="CG45" i="16" s="1"/>
  <c r="CG46" i="16" a="1"/>
  <c r="CG46" i="16" s="1"/>
  <c r="CG47" i="16" a="1"/>
  <c r="CG47" i="16" s="1"/>
  <c r="CG48" i="16" a="1"/>
  <c r="CG48" i="16" s="1"/>
  <c r="CG49" i="16" a="1"/>
  <c r="CG49" i="16" s="1"/>
  <c r="CG50" i="16" a="1"/>
  <c r="CG50" i="16" s="1"/>
  <c r="CG51" i="16" a="1"/>
  <c r="CG51" i="16" s="1"/>
  <c r="CG52" i="16" a="1"/>
  <c r="CG52" i="16" s="1"/>
  <c r="CG53" i="16" a="1"/>
  <c r="CG53" i="16" s="1"/>
  <c r="CG54" i="16" a="1"/>
  <c r="CG54" i="16" s="1"/>
  <c r="CG55" i="16" a="1"/>
  <c r="CG55" i="16" s="1"/>
  <c r="CG56" i="16" a="1"/>
  <c r="CG56" i="16" s="1"/>
  <c r="CG57" i="16" a="1"/>
  <c r="CG57" i="16" s="1"/>
  <c r="CG58" i="16" a="1"/>
  <c r="CG58" i="16" s="1"/>
  <c r="CG59" i="16" a="1"/>
  <c r="CG59" i="16" s="1"/>
  <c r="CE20" i="16" a="1"/>
  <c r="BR11" i="16" l="1"/>
  <c r="BR109" i="17" l="1"/>
  <c r="BS109" i="17"/>
  <c r="BT109" i="17"/>
  <c r="BU109" i="17"/>
  <c r="BV109" i="17"/>
  <c r="BW109" i="17"/>
  <c r="BX109" i="17"/>
  <c r="BR108" i="17"/>
  <c r="BS108" i="17"/>
  <c r="BT108" i="17"/>
  <c r="BU108" i="17"/>
  <c r="BV108" i="17"/>
  <c r="BW108" i="17"/>
  <c r="BX108" i="17"/>
  <c r="I109" i="17"/>
  <c r="J109" i="17"/>
  <c r="I108" i="17"/>
  <c r="J108" i="17"/>
  <c r="F60" i="14" l="1" a="1"/>
  <c r="F60" i="14" s="1"/>
  <c r="X11" i="17" l="1"/>
  <c r="AA11" i="17"/>
  <c r="AG11" i="17"/>
  <c r="AJ11" i="17"/>
  <c r="AN11" i="17"/>
  <c r="AQ11" i="17"/>
  <c r="AU11" i="17"/>
  <c r="BC11" i="17"/>
  <c r="BD11" i="17"/>
  <c r="BH11" i="17"/>
  <c r="BI11" i="17"/>
  <c r="BJ11" i="17"/>
  <c r="BM11" i="17"/>
  <c r="BQ11" i="17"/>
  <c r="BU11" i="17"/>
  <c r="BX11" i="17"/>
  <c r="CA11" i="17"/>
  <c r="P11" i="17"/>
  <c r="U11" i="17"/>
  <c r="M11" i="17"/>
  <c r="H111" i="17"/>
  <c r="I111" i="17"/>
  <c r="J111" i="17"/>
  <c r="K111" i="17"/>
  <c r="L111" i="17"/>
  <c r="M111" i="17"/>
  <c r="N111" i="17"/>
  <c r="O111" i="17"/>
  <c r="P111" i="17"/>
  <c r="S111" i="17"/>
  <c r="T111" i="17"/>
  <c r="U111" i="17"/>
  <c r="V111" i="17"/>
  <c r="W111" i="17"/>
  <c r="X111" i="17"/>
  <c r="Y111" i="17"/>
  <c r="Z111" i="17"/>
  <c r="AA111" i="17"/>
  <c r="AB111" i="17"/>
  <c r="AB116" i="17" s="1"/>
  <c r="AC111" i="17"/>
  <c r="AC116" i="17" s="1"/>
  <c r="AD111" i="17"/>
  <c r="AD116" i="17" s="1"/>
  <c r="AE111" i="17"/>
  <c r="AF111" i="17"/>
  <c r="AG111" i="17"/>
  <c r="AH111" i="17"/>
  <c r="AI111" i="17"/>
  <c r="AJ111" i="17"/>
  <c r="AK111" i="17"/>
  <c r="AL111" i="17"/>
  <c r="AM111" i="17"/>
  <c r="AN111" i="17"/>
  <c r="AO111" i="17"/>
  <c r="AP111" i="17"/>
  <c r="AQ111" i="17"/>
  <c r="AR111" i="17"/>
  <c r="AS111" i="17"/>
  <c r="AT111" i="17"/>
  <c r="AU111" i="17"/>
  <c r="AV111" i="17"/>
  <c r="AW111" i="17"/>
  <c r="AX111" i="17"/>
  <c r="AY111" i="17"/>
  <c r="AZ111" i="17"/>
  <c r="BA111" i="17"/>
  <c r="BB111" i="17"/>
  <c r="BC111" i="17"/>
  <c r="BD111" i="17"/>
  <c r="BE111" i="17"/>
  <c r="BF111" i="17"/>
  <c r="BG111" i="17"/>
  <c r="BH111" i="17"/>
  <c r="BI111" i="17"/>
  <c r="BJ111" i="17"/>
  <c r="BK111" i="17"/>
  <c r="BL111" i="17"/>
  <c r="BM111" i="17"/>
  <c r="BN111" i="17"/>
  <c r="BO111" i="17"/>
  <c r="BP111" i="17"/>
  <c r="BQ111" i="17"/>
  <c r="BR111" i="17"/>
  <c r="BR116" i="17" s="1"/>
  <c r="BS111" i="17"/>
  <c r="BS116" i="17" s="1"/>
  <c r="BT111" i="17"/>
  <c r="BT116" i="17" s="1"/>
  <c r="BU111" i="17"/>
  <c r="BU116" i="17" s="1"/>
  <c r="BV111" i="17"/>
  <c r="BV116" i="17" s="1"/>
  <c r="BW111" i="17"/>
  <c r="BW116" i="17" s="1"/>
  <c r="BX111" i="17"/>
  <c r="BX116" i="17" s="1"/>
  <c r="BY111" i="17"/>
  <c r="BZ111" i="17"/>
  <c r="CA111" i="17"/>
  <c r="I116" i="17" l="1"/>
  <c r="J116" i="17"/>
  <c r="I112" i="1"/>
  <c r="J112" i="1"/>
  <c r="AB112" i="1"/>
  <c r="AC112" i="1"/>
  <c r="AD112" i="1"/>
  <c r="BV112" i="1"/>
  <c r="BW112" i="1"/>
  <c r="BX112" i="1"/>
  <c r="T19" i="45" l="1"/>
  <c r="X19" i="48"/>
  <c r="U16" i="19"/>
  <c r="T16" i="19"/>
  <c r="K16" i="19"/>
  <c r="J16" i="19"/>
  <c r="K29" i="19"/>
  <c r="K39" i="19" s="1"/>
  <c r="U3" i="19"/>
  <c r="T3" i="19"/>
  <c r="K3" i="19"/>
  <c r="J3" i="19"/>
  <c r="BH130" i="16"/>
  <c r="BH135" i="16" s="1"/>
  <c r="BI130" i="16"/>
  <c r="BI135" i="16" s="1"/>
  <c r="BJ130" i="16"/>
  <c r="BK130" i="16"/>
  <c r="BK135" i="16" s="1"/>
  <c r="BL130" i="16"/>
  <c r="BL135" i="16" s="1"/>
  <c r="BM130" i="16"/>
  <c r="BM135" i="16" s="1"/>
  <c r="BN130" i="16"/>
  <c r="BN135" i="16" s="1"/>
  <c r="BO130" i="16"/>
  <c r="BO135" i="16" s="1"/>
  <c r="BJ135" i="16"/>
  <c r="AV136" i="16"/>
  <c r="AW136" i="16"/>
  <c r="AX136" i="16"/>
  <c r="AV130" i="16"/>
  <c r="AV135" i="16" s="1"/>
  <c r="AW130" i="16"/>
  <c r="AW135" i="16" s="1"/>
  <c r="AX130" i="16"/>
  <c r="AX135" i="16" s="1"/>
  <c r="AV126" i="16"/>
  <c r="AW126" i="16"/>
  <c r="AX126" i="16"/>
  <c r="AV125" i="16"/>
  <c r="AW125" i="16"/>
  <c r="AX125" i="16"/>
  <c r="AV122" i="16"/>
  <c r="AV127" i="16" s="1"/>
  <c r="AW122" i="16"/>
  <c r="AW127" i="16" s="1"/>
  <c r="AV116" i="16"/>
  <c r="AW116" i="16"/>
  <c r="AX116" i="16"/>
  <c r="AV115" i="16"/>
  <c r="AW115" i="16"/>
  <c r="AX115" i="16"/>
  <c r="AV112" i="16"/>
  <c r="AW112" i="16"/>
  <c r="AC135" i="16"/>
  <c r="AD135" i="16"/>
  <c r="AC131" i="16"/>
  <c r="AC132" i="16" s="1"/>
  <c r="AD131" i="16"/>
  <c r="AD136" i="16" s="1"/>
  <c r="AC128" i="16"/>
  <c r="AD128" i="16"/>
  <c r="AC126" i="16"/>
  <c r="AD126" i="16"/>
  <c r="AC125" i="16"/>
  <c r="AD125" i="16"/>
  <c r="AC122" i="16"/>
  <c r="AC127" i="16" s="1"/>
  <c r="AD122" i="16"/>
  <c r="AD127" i="16" s="1"/>
  <c r="AC116" i="16"/>
  <c r="AD116" i="16"/>
  <c r="AC115" i="16"/>
  <c r="AD115" i="16"/>
  <c r="AC112" i="16"/>
  <c r="AD112" i="16"/>
  <c r="BR138" i="16"/>
  <c r="BQ138" i="16"/>
  <c r="BP138" i="16"/>
  <c r="BR136" i="16"/>
  <c r="BQ136" i="16"/>
  <c r="BP136" i="16"/>
  <c r="BR135" i="16"/>
  <c r="BQ135" i="16"/>
  <c r="BP135" i="16"/>
  <c r="BR132" i="16"/>
  <c r="BR137" i="16" s="1"/>
  <c r="BQ132" i="16"/>
  <c r="BQ137" i="16" s="1"/>
  <c r="BP132" i="16"/>
  <c r="BP137" i="16" s="1"/>
  <c r="BR128" i="16"/>
  <c r="BQ128" i="16"/>
  <c r="BP128" i="16"/>
  <c r="BR126" i="16"/>
  <c r="BQ126" i="16"/>
  <c r="BP126" i="16"/>
  <c r="BR125" i="16"/>
  <c r="BQ125" i="16"/>
  <c r="BP125" i="16"/>
  <c r="BR122" i="16"/>
  <c r="BR127" i="16" s="1"/>
  <c r="BQ122" i="16"/>
  <c r="BQ127" i="16" s="1"/>
  <c r="BP122" i="16"/>
  <c r="BP127" i="16" s="1"/>
  <c r="BR116" i="16"/>
  <c r="BQ116" i="16"/>
  <c r="BP116" i="16"/>
  <c r="BR115" i="16"/>
  <c r="BQ115" i="16"/>
  <c r="BP115" i="16"/>
  <c r="BR112" i="16"/>
  <c r="BQ112" i="16"/>
  <c r="BP112" i="16"/>
  <c r="X122" i="16"/>
  <c r="X127" i="16" s="1"/>
  <c r="Y122" i="16"/>
  <c r="Y127" i="16" s="1"/>
  <c r="X116" i="16"/>
  <c r="Y116" i="16"/>
  <c r="X112" i="16"/>
  <c r="Y112" i="16"/>
  <c r="X115" i="16"/>
  <c r="X117" i="16" s="1"/>
  <c r="Y115" i="16"/>
  <c r="Y117" i="16" s="1"/>
  <c r="X128" i="16"/>
  <c r="Y128" i="16"/>
  <c r="X126" i="16"/>
  <c r="Y126" i="16"/>
  <c r="X125" i="16"/>
  <c r="Y125" i="16"/>
  <c r="X131" i="16"/>
  <c r="X132" i="16" s="1"/>
  <c r="X137" i="16" s="1"/>
  <c r="Y131" i="16"/>
  <c r="Y132" i="16" s="1"/>
  <c r="Y137" i="16" s="1"/>
  <c r="X135" i="16"/>
  <c r="Y135" i="16"/>
  <c r="X138" i="16"/>
  <c r="Y138" i="16"/>
  <c r="A6" i="16"/>
  <c r="AW132" i="16" l="1"/>
  <c r="AW137" i="16" s="1"/>
  <c r="AW117" i="16"/>
  <c r="AD117" i="16"/>
  <c r="BQ117" i="16"/>
  <c r="AC117" i="16"/>
  <c r="AC136" i="16"/>
  <c r="Y136" i="16"/>
  <c r="AV117" i="16"/>
  <c r="AV132" i="16"/>
  <c r="AV137" i="16" s="1"/>
  <c r="X136" i="16"/>
  <c r="BR117" i="16"/>
  <c r="BP117" i="16"/>
  <c r="AD132" i="16"/>
  <c r="BK106" i="1" l="1"/>
  <c r="BL106" i="1"/>
  <c r="BM106" i="1"/>
  <c r="BN106" i="1"/>
  <c r="BO106" i="1"/>
  <c r="BP106" i="1"/>
  <c r="BQ106" i="1"/>
  <c r="BR106" i="1"/>
  <c r="BR110" i="17" s="1"/>
  <c r="BR115" i="17" s="1"/>
  <c r="BS106" i="1"/>
  <c r="BS110" i="17" s="1"/>
  <c r="BS115" i="17" s="1"/>
  <c r="BT106" i="1"/>
  <c r="BT110" i="17" s="1"/>
  <c r="BT115" i="17" s="1"/>
  <c r="BU106" i="1"/>
  <c r="BU110" i="17" s="1"/>
  <c r="BU115" i="17" s="1"/>
  <c r="BV106" i="1"/>
  <c r="BW106" i="1"/>
  <c r="BX106" i="1"/>
  <c r="BY106" i="1"/>
  <c r="BZ106" i="1"/>
  <c r="CA106" i="1"/>
  <c r="BJ106" i="1"/>
  <c r="AL106" i="1"/>
  <c r="AM106" i="1"/>
  <c r="AN106" i="1"/>
  <c r="AO106" i="1"/>
  <c r="AP106" i="1"/>
  <c r="AQ106" i="1"/>
  <c r="AK106" i="1"/>
  <c r="BT16" i="17"/>
  <c r="BX110" i="17" l="1"/>
  <c r="BX115" i="17" s="1"/>
  <c r="BX108" i="1"/>
  <c r="BX113" i="1" s="1"/>
  <c r="BX111" i="1"/>
  <c r="BW110" i="17"/>
  <c r="BW115" i="17" s="1"/>
  <c r="BW108" i="1"/>
  <c r="BW111" i="1"/>
  <c r="BV110" i="17"/>
  <c r="BV115" i="17" s="1"/>
  <c r="BV111" i="1"/>
  <c r="BV108" i="1"/>
  <c r="D36" i="30"/>
  <c r="BF36" i="1" s="1"/>
  <c r="D35" i="30"/>
  <c r="BF35" i="1" s="1"/>
  <c r="D34" i="30"/>
  <c r="BF34" i="1" s="1"/>
  <c r="D33" i="30"/>
  <c r="D32" i="30"/>
  <c r="BF32" i="1" s="1"/>
  <c r="D31" i="30"/>
  <c r="BF31" i="1" s="1"/>
  <c r="D30" i="30"/>
  <c r="BF30" i="1" s="1"/>
  <c r="D29" i="30"/>
  <c r="BF29" i="1" s="1"/>
  <c r="D28" i="30"/>
  <c r="BF28" i="1" s="1"/>
  <c r="D27" i="30"/>
  <c r="BF27" i="1" s="1"/>
  <c r="D26" i="30"/>
  <c r="BF26" i="1" s="1"/>
  <c r="D25" i="30"/>
  <c r="BF25" i="1" s="1"/>
  <c r="D24" i="30"/>
  <c r="BF24" i="1" s="1"/>
  <c r="D23" i="30"/>
  <c r="BF23" i="1" s="1"/>
  <c r="D22" i="30"/>
  <c r="D21" i="30"/>
  <c r="D20" i="30"/>
  <c r="BF20" i="1" s="1"/>
  <c r="BF22" i="1" l="1"/>
  <c r="BF21" i="1"/>
  <c r="BF33" i="1"/>
  <c r="G11" i="28"/>
  <c r="H11" i="28"/>
  <c r="E46" i="28" l="1" a="1"/>
  <c r="E72" i="28" a="1"/>
  <c r="E73" i="28" a="1"/>
  <c r="E47" i="28" a="1"/>
  <c r="A9" i="49"/>
  <c r="A8" i="49"/>
  <c r="A27" i="49"/>
  <c r="A26" i="49"/>
  <c r="A25" i="49"/>
  <c r="A24" i="49"/>
  <c r="A23" i="49"/>
  <c r="A22" i="49"/>
  <c r="A21" i="49"/>
  <c r="A20" i="49"/>
  <c r="A2" i="49"/>
  <c r="A1" i="49"/>
  <c r="A8" i="48"/>
  <c r="A2" i="48"/>
  <c r="A1" i="48"/>
  <c r="K5" i="18"/>
  <c r="J5" i="18"/>
  <c r="E46" i="28" l="1"/>
  <c r="A27" i="48"/>
  <c r="A26" i="48"/>
  <c r="A25" i="48"/>
  <c r="A24" i="48"/>
  <c r="A23" i="48"/>
  <c r="A22" i="48"/>
  <c r="A21" i="48"/>
  <c r="A20" i="48"/>
  <c r="T27" i="49"/>
  <c r="U26" i="19" s="1"/>
  <c r="T26" i="49"/>
  <c r="U25" i="19" s="1"/>
  <c r="T25" i="49"/>
  <c r="U24" i="19" s="1"/>
  <c r="T24" i="49"/>
  <c r="U23" i="19" s="1"/>
  <c r="T23" i="49"/>
  <c r="U22" i="19" s="1"/>
  <c r="T22" i="49"/>
  <c r="U21" i="19" s="1"/>
  <c r="T21" i="49"/>
  <c r="U20" i="19" s="1"/>
  <c r="T20" i="49"/>
  <c r="T26" i="19"/>
  <c r="X26" i="48"/>
  <c r="T25" i="19" s="1"/>
  <c r="X25" i="48"/>
  <c r="T24" i="19" s="1"/>
  <c r="T23" i="19"/>
  <c r="X23" i="48"/>
  <c r="T22" i="19" s="1"/>
  <c r="X22" i="48"/>
  <c r="T21" i="19" s="1"/>
  <c r="X21" i="48"/>
  <c r="T20" i="19" s="1"/>
  <c r="X20" i="48"/>
  <c r="A9" i="48"/>
  <c r="E72" i="28" l="1"/>
  <c r="E73" i="28"/>
  <c r="E47" i="28"/>
  <c r="D73" i="28" l="1"/>
  <c r="D47" i="28"/>
  <c r="H15" i="17"/>
  <c r="G16" i="17"/>
  <c r="H16" i="17"/>
  <c r="G17" i="17"/>
  <c r="H17" i="17"/>
  <c r="G108" i="17"/>
  <c r="H108" i="17"/>
  <c r="G109" i="17"/>
  <c r="H109" i="17"/>
  <c r="G111" i="17"/>
  <c r="H116" i="17"/>
  <c r="L47" i="28" l="1"/>
  <c r="K48" i="24" s="1"/>
  <c r="P48" i="24" s="1"/>
  <c r="D48" i="24" s="1"/>
  <c r="M47" i="28"/>
  <c r="M73" i="28"/>
  <c r="L73" i="28"/>
  <c r="K74" i="24" s="1"/>
  <c r="P74" i="24" s="1"/>
  <c r="D74" i="24" s="1"/>
  <c r="G116" i="17"/>
  <c r="C74" i="24" l="1"/>
  <c r="CJ73" i="1"/>
  <c r="C48" i="24"/>
  <c r="CJ47" i="1"/>
  <c r="BW20" i="1"/>
  <c r="K55" i="18" l="1"/>
  <c r="J55" i="18"/>
  <c r="T21" i="45"/>
  <c r="T22" i="45"/>
  <c r="T23" i="45"/>
  <c r="T24" i="45"/>
  <c r="T25" i="45"/>
  <c r="T26" i="45"/>
  <c r="T27" i="45"/>
  <c r="T28" i="45"/>
  <c r="T29" i="45"/>
  <c r="T30" i="45"/>
  <c r="T31" i="45"/>
  <c r="T32" i="45"/>
  <c r="T33" i="45"/>
  <c r="T34" i="45"/>
  <c r="T35" i="45"/>
  <c r="T36" i="45"/>
  <c r="T37" i="45"/>
  <c r="T38" i="45"/>
  <c r="T39" i="45"/>
  <c r="T40" i="45"/>
  <c r="T41" i="45"/>
  <c r="T42" i="45"/>
  <c r="T43" i="45"/>
  <c r="T44" i="45"/>
  <c r="T45" i="45"/>
  <c r="T46" i="45"/>
  <c r="T48" i="45"/>
  <c r="T49" i="45"/>
  <c r="T50" i="45"/>
  <c r="T51" i="45"/>
  <c r="T52" i="45"/>
  <c r="T53" i="45"/>
  <c r="T54" i="45"/>
  <c r="T55" i="45"/>
  <c r="T56" i="45"/>
  <c r="T57" i="45"/>
  <c r="T58" i="45"/>
  <c r="T59" i="45"/>
  <c r="T60" i="45"/>
  <c r="T61" i="45"/>
  <c r="T62" i="45"/>
  <c r="T63" i="45"/>
  <c r="T64" i="45"/>
  <c r="T65" i="45"/>
  <c r="T66" i="45"/>
  <c r="T67" i="45"/>
  <c r="T68" i="45"/>
  <c r="T69" i="45"/>
  <c r="T70" i="45"/>
  <c r="T71" i="45"/>
  <c r="T72" i="45"/>
  <c r="T74" i="45"/>
  <c r="T75" i="45"/>
  <c r="T20" i="45"/>
  <c r="AD11" i="1" l="1"/>
  <c r="J11" i="1"/>
  <c r="H11" i="1"/>
  <c r="H11" i="16"/>
  <c r="H142" i="16" s="1"/>
  <c r="K11" i="16"/>
  <c r="K142" i="16" s="1"/>
  <c r="AA11" i="16"/>
  <c r="AA142" i="16" s="1"/>
  <c r="AF11" i="16"/>
  <c r="AF142" i="16" s="1"/>
  <c r="BU11" i="16"/>
  <c r="BX11" i="16"/>
  <c r="CJ11" i="16"/>
  <c r="H11" i="17" l="1"/>
  <c r="AD11" i="17"/>
  <c r="J11" i="17"/>
  <c r="AX132" i="16"/>
  <c r="AX137" i="16" s="1"/>
  <c r="AX117" i="16"/>
  <c r="AX122" i="16"/>
  <c r="AX127" i="16" s="1"/>
  <c r="AX112" i="16"/>
  <c r="DI97" i="16"/>
  <c r="DH97" i="16"/>
  <c r="DG97" i="16"/>
  <c r="DF97" i="16"/>
  <c r="DE97" i="16"/>
  <c r="DI96" i="16"/>
  <c r="DH96" i="16"/>
  <c r="DG96" i="16"/>
  <c r="DF96" i="16"/>
  <c r="DE96" i="16"/>
  <c r="DI95" i="16"/>
  <c r="DH95" i="16"/>
  <c r="DG95" i="16"/>
  <c r="DF95" i="16"/>
  <c r="DE95" i="16"/>
  <c r="DI94" i="16"/>
  <c r="DH94" i="16"/>
  <c r="DG94" i="16"/>
  <c r="DF94" i="16"/>
  <c r="DE94" i="16"/>
  <c r="DI93" i="16"/>
  <c r="DH93" i="16"/>
  <c r="DG93" i="16"/>
  <c r="DF93" i="16"/>
  <c r="DE93" i="16"/>
  <c r="DI92" i="16"/>
  <c r="DH92" i="16"/>
  <c r="DG92" i="16"/>
  <c r="DF92" i="16"/>
  <c r="DE92" i="16"/>
  <c r="DI91" i="16"/>
  <c r="DH91" i="16"/>
  <c r="DG91" i="16"/>
  <c r="DF91" i="16"/>
  <c r="DE91" i="16"/>
  <c r="DI90" i="16"/>
  <c r="DH90" i="16"/>
  <c r="DG90" i="16"/>
  <c r="DF90" i="16"/>
  <c r="DE90" i="16"/>
  <c r="DI89" i="16"/>
  <c r="DH89" i="16"/>
  <c r="DG89" i="16"/>
  <c r="DF89" i="16"/>
  <c r="DE89" i="16"/>
  <c r="DI88" i="16"/>
  <c r="DH88" i="16"/>
  <c r="DG88" i="16"/>
  <c r="DF88" i="16"/>
  <c r="DE88" i="16"/>
  <c r="DI87" i="16"/>
  <c r="DH87" i="16"/>
  <c r="DG87" i="16"/>
  <c r="DF87" i="16"/>
  <c r="DE87" i="16"/>
  <c r="DI86" i="16"/>
  <c r="DH86" i="16"/>
  <c r="DG86" i="16"/>
  <c r="DF86" i="16"/>
  <c r="DE86" i="16"/>
  <c r="DI85" i="16"/>
  <c r="DH85" i="16"/>
  <c r="DG85" i="16"/>
  <c r="DF85" i="16"/>
  <c r="DE85" i="16"/>
  <c r="DI84" i="16"/>
  <c r="DH84" i="16"/>
  <c r="DG84" i="16"/>
  <c r="DF84" i="16"/>
  <c r="DE84" i="16"/>
  <c r="DI83" i="16"/>
  <c r="DH83" i="16"/>
  <c r="DG83" i="16"/>
  <c r="DF83" i="16"/>
  <c r="DE83" i="16"/>
  <c r="DI82" i="16"/>
  <c r="DH82" i="16"/>
  <c r="DG82" i="16"/>
  <c r="DF82" i="16"/>
  <c r="DE82" i="16"/>
  <c r="DI81" i="16"/>
  <c r="DH81" i="16"/>
  <c r="DG81" i="16"/>
  <c r="DF81" i="16"/>
  <c r="DE81" i="16"/>
  <c r="DI80" i="16"/>
  <c r="DH80" i="16"/>
  <c r="DG80" i="16"/>
  <c r="DF80" i="16"/>
  <c r="DE80" i="16"/>
  <c r="DI79" i="16"/>
  <c r="DH79" i="16"/>
  <c r="DG79" i="16"/>
  <c r="DF79" i="16"/>
  <c r="DE79" i="16"/>
  <c r="DI78" i="16"/>
  <c r="DH78" i="16"/>
  <c r="DG78" i="16"/>
  <c r="DF78" i="16"/>
  <c r="DE78" i="16"/>
  <c r="DI77" i="16"/>
  <c r="DH77" i="16"/>
  <c r="DG77" i="16"/>
  <c r="DF77" i="16"/>
  <c r="DE77" i="16"/>
  <c r="DI76" i="16"/>
  <c r="DH76" i="16"/>
  <c r="DG76" i="16"/>
  <c r="DF76" i="16"/>
  <c r="DE76" i="16"/>
  <c r="DI75" i="16"/>
  <c r="DH75" i="16"/>
  <c r="DG75" i="16"/>
  <c r="DF75" i="16"/>
  <c r="DE75" i="16"/>
  <c r="DI74" i="16"/>
  <c r="DH74" i="16"/>
  <c r="DG74" i="16"/>
  <c r="DF74" i="16"/>
  <c r="DE74" i="16"/>
  <c r="DI73" i="16"/>
  <c r="DH73" i="16"/>
  <c r="DG73" i="16"/>
  <c r="DF73" i="16"/>
  <c r="DE73" i="16"/>
  <c r="DI72" i="16"/>
  <c r="DH72" i="16"/>
  <c r="DG72" i="16"/>
  <c r="DF72" i="16"/>
  <c r="DE72" i="16"/>
  <c r="DI71" i="16"/>
  <c r="DH71" i="16"/>
  <c r="DG71" i="16"/>
  <c r="DF71" i="16"/>
  <c r="DE71" i="16"/>
  <c r="DI70" i="16"/>
  <c r="DH70" i="16"/>
  <c r="DG70" i="16"/>
  <c r="DF70" i="16"/>
  <c r="DE70" i="16"/>
  <c r="DI69" i="16"/>
  <c r="DH69" i="16"/>
  <c r="DG69" i="16"/>
  <c r="DF69" i="16"/>
  <c r="DE69" i="16"/>
  <c r="DI68" i="16"/>
  <c r="DH68" i="16"/>
  <c r="DG68" i="16"/>
  <c r="DF68" i="16"/>
  <c r="DE68" i="16"/>
  <c r="DI67" i="16"/>
  <c r="DH67" i="16"/>
  <c r="DG67" i="16"/>
  <c r="DF67" i="16"/>
  <c r="DE67" i="16"/>
  <c r="DI66" i="16"/>
  <c r="DH66" i="16"/>
  <c r="DG66" i="16"/>
  <c r="DF66" i="16"/>
  <c r="DE66" i="16"/>
  <c r="DI65" i="16"/>
  <c r="DH65" i="16"/>
  <c r="DG65" i="16"/>
  <c r="DF65" i="16"/>
  <c r="DE65" i="16"/>
  <c r="DI64" i="16"/>
  <c r="DH64" i="16"/>
  <c r="DG64" i="16"/>
  <c r="DF64" i="16"/>
  <c r="DE64" i="16"/>
  <c r="DI63" i="16"/>
  <c r="DH63" i="16"/>
  <c r="DG63" i="16"/>
  <c r="DF63" i="16"/>
  <c r="DE63" i="16"/>
  <c r="DI62" i="16"/>
  <c r="DH62" i="16"/>
  <c r="DG62" i="16"/>
  <c r="DF62" i="16"/>
  <c r="DE62" i="16"/>
  <c r="DI61" i="16"/>
  <c r="DH61" i="16"/>
  <c r="DG61" i="16"/>
  <c r="DF61" i="16"/>
  <c r="DE61" i="16"/>
  <c r="DI60" i="16"/>
  <c r="DH60" i="16"/>
  <c r="DG60" i="16"/>
  <c r="DF60" i="16"/>
  <c r="DE60" i="16"/>
  <c r="DI59" i="16"/>
  <c r="DH59" i="16"/>
  <c r="DG59" i="16"/>
  <c r="DF59" i="16"/>
  <c r="DE59" i="16"/>
  <c r="DI58" i="16"/>
  <c r="DH58" i="16"/>
  <c r="DG58" i="16"/>
  <c r="DF58" i="16"/>
  <c r="DE58" i="16"/>
  <c r="DI57" i="16"/>
  <c r="DH57" i="16"/>
  <c r="DG57" i="16"/>
  <c r="DF57" i="16"/>
  <c r="DE57" i="16"/>
  <c r="DI56" i="16"/>
  <c r="DH56" i="16"/>
  <c r="DG56" i="16"/>
  <c r="DF56" i="16"/>
  <c r="DE56" i="16"/>
  <c r="DI55" i="16"/>
  <c r="DH55" i="16"/>
  <c r="DG55" i="16"/>
  <c r="DF55" i="16"/>
  <c r="DE55" i="16"/>
  <c r="DI54" i="16"/>
  <c r="DH54" i="16"/>
  <c r="DG54" i="16"/>
  <c r="DF54" i="16"/>
  <c r="DE54" i="16"/>
  <c r="DI53" i="16"/>
  <c r="DH53" i="16"/>
  <c r="DG53" i="16"/>
  <c r="DF53" i="16"/>
  <c r="DE53" i="16"/>
  <c r="DI52" i="16"/>
  <c r="DH52" i="16"/>
  <c r="DG52" i="16"/>
  <c r="DF52" i="16"/>
  <c r="DE52" i="16"/>
  <c r="DI51" i="16"/>
  <c r="DH51" i="16"/>
  <c r="DG51" i="16"/>
  <c r="DF51" i="16"/>
  <c r="DE51" i="16"/>
  <c r="DI50" i="16"/>
  <c r="DH50" i="16"/>
  <c r="DG50" i="16"/>
  <c r="DF50" i="16"/>
  <c r="DE50" i="16"/>
  <c r="DI49" i="16"/>
  <c r="DH49" i="16"/>
  <c r="DG49" i="16"/>
  <c r="DF49" i="16"/>
  <c r="DE49" i="16"/>
  <c r="DI48" i="16"/>
  <c r="DH48" i="16"/>
  <c r="DG48" i="16"/>
  <c r="DF48" i="16"/>
  <c r="DE48" i="16"/>
  <c r="DI47" i="16"/>
  <c r="DH47" i="16"/>
  <c r="DG47" i="16"/>
  <c r="DF47" i="16"/>
  <c r="DE47" i="16"/>
  <c r="DI46" i="16"/>
  <c r="DH46" i="16"/>
  <c r="DG46" i="16"/>
  <c r="DF46" i="16"/>
  <c r="DE46" i="16"/>
  <c r="DI45" i="16"/>
  <c r="DH45" i="16"/>
  <c r="DG45" i="16"/>
  <c r="DF45" i="16"/>
  <c r="DE45" i="16"/>
  <c r="DI44" i="16"/>
  <c r="DH44" i="16"/>
  <c r="DG44" i="16"/>
  <c r="DF44" i="16"/>
  <c r="DE44" i="16"/>
  <c r="DI43" i="16"/>
  <c r="DH43" i="16"/>
  <c r="DG43" i="16"/>
  <c r="DF43" i="16"/>
  <c r="DE43" i="16"/>
  <c r="DI42" i="16"/>
  <c r="DH42" i="16"/>
  <c r="DG42" i="16"/>
  <c r="DF42" i="16"/>
  <c r="DE42" i="16"/>
  <c r="DI41" i="16"/>
  <c r="DH41" i="16"/>
  <c r="DG41" i="16"/>
  <c r="DF41" i="16"/>
  <c r="DE41" i="16"/>
  <c r="DI40" i="16"/>
  <c r="DH40" i="16"/>
  <c r="DG40" i="16"/>
  <c r="DF40" i="16"/>
  <c r="DE40" i="16"/>
  <c r="DI39" i="16"/>
  <c r="DH39" i="16"/>
  <c r="DG39" i="16"/>
  <c r="DF39" i="16"/>
  <c r="DE39" i="16"/>
  <c r="DI38" i="16"/>
  <c r="DH38" i="16"/>
  <c r="DG38" i="16"/>
  <c r="DF38" i="16"/>
  <c r="DE38" i="16"/>
  <c r="DI37" i="16"/>
  <c r="DH37" i="16"/>
  <c r="DG37" i="16"/>
  <c r="DF37" i="16"/>
  <c r="DE37" i="16"/>
  <c r="DI36" i="16"/>
  <c r="DH36" i="16"/>
  <c r="DG36" i="16"/>
  <c r="DF36" i="16"/>
  <c r="DE36" i="16"/>
  <c r="DI35" i="16"/>
  <c r="DH35" i="16"/>
  <c r="DG35" i="16"/>
  <c r="DF35" i="16"/>
  <c r="DE35" i="16"/>
  <c r="DI34" i="16"/>
  <c r="DH34" i="16"/>
  <c r="DG34" i="16"/>
  <c r="DF34" i="16"/>
  <c r="DE34" i="16"/>
  <c r="DI33" i="16"/>
  <c r="DH33" i="16"/>
  <c r="DG33" i="16"/>
  <c r="DF33" i="16"/>
  <c r="DE33" i="16"/>
  <c r="DI32" i="16"/>
  <c r="DH32" i="16"/>
  <c r="DG32" i="16"/>
  <c r="DF32" i="16"/>
  <c r="DE32" i="16"/>
  <c r="DI31" i="16"/>
  <c r="DH31" i="16"/>
  <c r="DG31" i="16"/>
  <c r="DF31" i="16"/>
  <c r="DE31" i="16"/>
  <c r="DI30" i="16"/>
  <c r="DH30" i="16"/>
  <c r="DG30" i="16"/>
  <c r="DF30" i="16"/>
  <c r="DE30" i="16"/>
  <c r="DI29" i="16"/>
  <c r="DH29" i="16"/>
  <c r="DG29" i="16"/>
  <c r="DF29" i="16"/>
  <c r="DE29" i="16"/>
  <c r="DI28" i="16"/>
  <c r="DH28" i="16"/>
  <c r="DG28" i="16"/>
  <c r="DF28" i="16"/>
  <c r="DE28" i="16"/>
  <c r="Q20" i="13" l="1" a="1"/>
  <c r="Q20" i="13" s="1"/>
  <c r="R20" i="13" a="1"/>
  <c r="R20" i="13" s="1"/>
  <c r="K1" i="24" l="1"/>
  <c r="CH140" i="16" l="1"/>
  <c r="CH142" i="16" s="1"/>
  <c r="CI140" i="16"/>
  <c r="CI142" i="16" s="1"/>
  <c r="CJ140" i="16"/>
  <c r="CJ142" i="16" s="1"/>
  <c r="CK140" i="16"/>
  <c r="CK142" i="16" s="1"/>
  <c r="CL140" i="16"/>
  <c r="CL142" i="16" s="1"/>
  <c r="CM140" i="16"/>
  <c r="CM142" i="16" s="1"/>
  <c r="CB140" i="16"/>
  <c r="CC140" i="16"/>
  <c r="CD140" i="16"/>
  <c r="CE140" i="16"/>
  <c r="CF140" i="16"/>
  <c r="CG140" i="16"/>
  <c r="CM27" i="16"/>
  <c r="CJ27" i="16"/>
  <c r="CM26" i="16"/>
  <c r="CJ26" i="16"/>
  <c r="CM25" i="16"/>
  <c r="CJ25" i="16"/>
  <c r="CM24" i="16"/>
  <c r="CJ24" i="16"/>
  <c r="CM23" i="16"/>
  <c r="CJ23" i="16"/>
  <c r="CM22" i="16"/>
  <c r="CJ22" i="16"/>
  <c r="CM21" i="16"/>
  <c r="CJ21" i="16"/>
  <c r="CM20" i="16"/>
  <c r="CJ20" i="16"/>
  <c r="CL19" i="16"/>
  <c r="CK19" i="16"/>
  <c r="CI19" i="16"/>
  <c r="CH19" i="16"/>
  <c r="BR142" i="16"/>
  <c r="BX27" i="16"/>
  <c r="BU27" i="16"/>
  <c r="BX26" i="16"/>
  <c r="BU26" i="16"/>
  <c r="BX25" i="16"/>
  <c r="BU25" i="16"/>
  <c r="BX24" i="16"/>
  <c r="BU24" i="16"/>
  <c r="BX23" i="16"/>
  <c r="BU23" i="16"/>
  <c r="BX22" i="16"/>
  <c r="BU22" i="16"/>
  <c r="BX21" i="16"/>
  <c r="BU21" i="16"/>
  <c r="BU20" i="16"/>
  <c r="BW19" i="16"/>
  <c r="BV19" i="16"/>
  <c r="BT19" i="16"/>
  <c r="BS19" i="16"/>
  <c r="BD27" i="16"/>
  <c r="BA27" i="16"/>
  <c r="BD26" i="16"/>
  <c r="BA26" i="16"/>
  <c r="BD25" i="16"/>
  <c r="BA25" i="16"/>
  <c r="BD24" i="16"/>
  <c r="BA24" i="16"/>
  <c r="BD23" i="16"/>
  <c r="BA23" i="16"/>
  <c r="BD22" i="16"/>
  <c r="BA22" i="16"/>
  <c r="BD21" i="16"/>
  <c r="BA21" i="16"/>
  <c r="BD20" i="16"/>
  <c r="BA20" i="16"/>
  <c r="BC19" i="16"/>
  <c r="BB19" i="16"/>
  <c r="AZ19" i="16"/>
  <c r="AY19" i="16"/>
  <c r="BA19" i="16" l="1"/>
  <c r="CM19" i="16"/>
  <c r="CJ19" i="16"/>
  <c r="BU19" i="16"/>
  <c r="BD19" i="16"/>
  <c r="G18" i="19" l="1"/>
  <c r="F18" i="19"/>
  <c r="D18" i="19"/>
  <c r="X17" i="19"/>
  <c r="W17" i="19"/>
  <c r="S17" i="19"/>
  <c r="R17" i="19"/>
  <c r="Q17" i="19"/>
  <c r="P17" i="19"/>
  <c r="O17" i="19"/>
  <c r="N17" i="19"/>
  <c r="M17" i="19"/>
  <c r="I17" i="19"/>
  <c r="H17" i="19"/>
  <c r="G17" i="19"/>
  <c r="F17" i="19"/>
  <c r="E17" i="19"/>
  <c r="D17" i="19"/>
  <c r="C17" i="19"/>
  <c r="X16" i="19"/>
  <c r="W16" i="19"/>
  <c r="S16" i="19"/>
  <c r="R16" i="19"/>
  <c r="Q16" i="19"/>
  <c r="P16" i="19"/>
  <c r="O16" i="19"/>
  <c r="N16" i="19"/>
  <c r="M16" i="19"/>
  <c r="I16" i="19"/>
  <c r="H16" i="19"/>
  <c r="G16" i="19"/>
  <c r="F16" i="19"/>
  <c r="E16" i="19"/>
  <c r="D16" i="19"/>
  <c r="C16" i="19"/>
  <c r="X4" i="19"/>
  <c r="W4" i="19"/>
  <c r="S4" i="19"/>
  <c r="R4" i="19"/>
  <c r="Q4" i="19"/>
  <c r="P4" i="19"/>
  <c r="O4" i="19"/>
  <c r="N4" i="19"/>
  <c r="M4" i="19"/>
  <c r="I4" i="19"/>
  <c r="H4" i="19"/>
  <c r="G4" i="19"/>
  <c r="F4" i="19"/>
  <c r="E4" i="19"/>
  <c r="D4" i="19"/>
  <c r="C4" i="19"/>
  <c r="X3" i="19"/>
  <c r="W3" i="19"/>
  <c r="S3" i="19"/>
  <c r="R3" i="19"/>
  <c r="Q3" i="19"/>
  <c r="P3" i="19"/>
  <c r="O3" i="19"/>
  <c r="N3" i="19"/>
  <c r="M3" i="19"/>
  <c r="I3" i="19"/>
  <c r="H3" i="19"/>
  <c r="G3" i="19"/>
  <c r="F3" i="19"/>
  <c r="E3" i="19"/>
  <c r="D3" i="19"/>
  <c r="C3" i="19"/>
  <c r="O55" i="18"/>
  <c r="L55" i="18"/>
  <c r="H5" i="18"/>
  <c r="H55" i="18" s="1"/>
  <c r="G5" i="18"/>
  <c r="G55" i="18" s="1"/>
  <c r="F55" i="18"/>
  <c r="E55" i="18"/>
  <c r="D55" i="18"/>
  <c r="O3" i="18"/>
  <c r="L3" i="18"/>
  <c r="C3" i="18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W21" i="37"/>
  <c r="T21" i="37"/>
  <c r="Q21" i="37"/>
  <c r="N21" i="37"/>
  <c r="K21" i="37"/>
  <c r="H21" i="37"/>
  <c r="W20" i="37"/>
  <c r="T20" i="37"/>
  <c r="Q20" i="37"/>
  <c r="N20" i="37"/>
  <c r="K20" i="37"/>
  <c r="H20" i="37"/>
  <c r="W19" i="37"/>
  <c r="T19" i="37"/>
  <c r="Q19" i="37"/>
  <c r="N19" i="37"/>
  <c r="K19" i="37"/>
  <c r="H19" i="37"/>
  <c r="W18" i="37"/>
  <c r="T18" i="37"/>
  <c r="Q18" i="37"/>
  <c r="N18" i="37"/>
  <c r="K18" i="37"/>
  <c r="H18" i="37"/>
  <c r="W17" i="37"/>
  <c r="T17" i="37"/>
  <c r="Q17" i="37"/>
  <c r="N17" i="37"/>
  <c r="K17" i="37"/>
  <c r="H17" i="37"/>
  <c r="W16" i="37"/>
  <c r="T16" i="37"/>
  <c r="Q16" i="37"/>
  <c r="N16" i="37"/>
  <c r="K16" i="37"/>
  <c r="H16" i="37"/>
  <c r="W15" i="37"/>
  <c r="T15" i="37"/>
  <c r="Q15" i="37"/>
  <c r="N15" i="37"/>
  <c r="K15" i="37"/>
  <c r="H15" i="37"/>
  <c r="W14" i="37"/>
  <c r="T14" i="37"/>
  <c r="Q14" i="37"/>
  <c r="N14" i="37"/>
  <c r="K14" i="37"/>
  <c r="H14" i="37"/>
  <c r="W13" i="37"/>
  <c r="V13" i="37"/>
  <c r="U13" i="37"/>
  <c r="S13" i="37"/>
  <c r="T13" i="37" s="1"/>
  <c r="R13" i="37"/>
  <c r="P13" i="37"/>
  <c r="Q13" i="37" s="1"/>
  <c r="O13" i="37"/>
  <c r="M13" i="37"/>
  <c r="N13" i="37" s="1"/>
  <c r="L13" i="37"/>
  <c r="K13" i="37"/>
  <c r="J13" i="37"/>
  <c r="I13" i="37"/>
  <c r="G13" i="37"/>
  <c r="H13" i="37" s="1"/>
  <c r="F13" i="37"/>
  <c r="E6" i="37"/>
  <c r="F4" i="37"/>
  <c r="F111" i="17"/>
  <c r="CA110" i="17"/>
  <c r="BZ110" i="17"/>
  <c r="BY110" i="17"/>
  <c r="BQ110" i="17"/>
  <c r="BP110" i="17"/>
  <c r="BO110" i="17"/>
  <c r="BN110" i="17"/>
  <c r="BM110" i="17"/>
  <c r="BL110" i="17"/>
  <c r="BK110" i="17"/>
  <c r="BJ110" i="17"/>
  <c r="BI110" i="17"/>
  <c r="BH110" i="17"/>
  <c r="BG110" i="17"/>
  <c r="BF110" i="17"/>
  <c r="BE110" i="17"/>
  <c r="BD110" i="17"/>
  <c r="BC110" i="17"/>
  <c r="BB110" i="17"/>
  <c r="BA110" i="17"/>
  <c r="AZ110" i="17"/>
  <c r="AY110" i="17"/>
  <c r="AX110" i="17"/>
  <c r="AW110" i="17"/>
  <c r="AV110" i="17"/>
  <c r="AU110" i="17"/>
  <c r="AT110" i="17"/>
  <c r="AS110" i="17"/>
  <c r="AR110" i="17"/>
  <c r="AQ110" i="17"/>
  <c r="AP110" i="17"/>
  <c r="AO110" i="17"/>
  <c r="AN110" i="17"/>
  <c r="AM110" i="17"/>
  <c r="AL110" i="17"/>
  <c r="AK110" i="17"/>
  <c r="F110" i="17"/>
  <c r="CA109" i="17"/>
  <c r="BZ109" i="17"/>
  <c r="BY109" i="17"/>
  <c r="BQ109" i="17"/>
  <c r="BP109" i="17"/>
  <c r="BO109" i="17"/>
  <c r="BN109" i="17"/>
  <c r="BM109" i="17"/>
  <c r="BL109" i="17"/>
  <c r="BK109" i="17"/>
  <c r="BJ109" i="17"/>
  <c r="BI109" i="17"/>
  <c r="BH109" i="17"/>
  <c r="BG109" i="17"/>
  <c r="BF109" i="17"/>
  <c r="BE109" i="17"/>
  <c r="BD109" i="17"/>
  <c r="BC109" i="17"/>
  <c r="BB109" i="17"/>
  <c r="BA109" i="17"/>
  <c r="AZ109" i="17"/>
  <c r="AY109" i="17"/>
  <c r="AX109" i="17"/>
  <c r="AW109" i="17"/>
  <c r="AV109" i="17"/>
  <c r="AU109" i="17"/>
  <c r="AT109" i="17"/>
  <c r="AS109" i="17"/>
  <c r="AR109" i="17"/>
  <c r="AQ109" i="17"/>
  <c r="AP109" i="17"/>
  <c r="AO109" i="17"/>
  <c r="AN109" i="17"/>
  <c r="AM109" i="17"/>
  <c r="AL109" i="17"/>
  <c r="AK109" i="17"/>
  <c r="AJ109" i="17"/>
  <c r="AI109" i="17"/>
  <c r="AH109" i="17"/>
  <c r="AG109" i="17"/>
  <c r="AF109" i="17"/>
  <c r="AE109" i="17"/>
  <c r="AA109" i="17"/>
  <c r="Z109" i="17"/>
  <c r="Y109" i="17"/>
  <c r="X109" i="17"/>
  <c r="W109" i="17"/>
  <c r="V109" i="17"/>
  <c r="U109" i="17"/>
  <c r="T109" i="17"/>
  <c r="S109" i="17"/>
  <c r="P109" i="17"/>
  <c r="O109" i="17"/>
  <c r="N109" i="17"/>
  <c r="M109" i="17"/>
  <c r="L109" i="17"/>
  <c r="K109" i="17"/>
  <c r="F109" i="17"/>
  <c r="CA108" i="17"/>
  <c r="BZ108" i="17"/>
  <c r="BY108" i="17"/>
  <c r="BQ108" i="17"/>
  <c r="BP108" i="17"/>
  <c r="BO108" i="17"/>
  <c r="BN108" i="17"/>
  <c r="BM108" i="17"/>
  <c r="BL108" i="17"/>
  <c r="BK108" i="17"/>
  <c r="BJ108" i="17"/>
  <c r="BI108" i="17"/>
  <c r="BH108" i="17"/>
  <c r="BG108" i="17"/>
  <c r="BF108" i="17"/>
  <c r="BE108" i="17"/>
  <c r="BD108" i="17"/>
  <c r="BC108" i="17"/>
  <c r="BB108" i="17"/>
  <c r="BA108" i="17"/>
  <c r="AZ108" i="17"/>
  <c r="AY108" i="17"/>
  <c r="AX108" i="17"/>
  <c r="AW108" i="17"/>
  <c r="AV108" i="17"/>
  <c r="AU108" i="17"/>
  <c r="AT108" i="17"/>
  <c r="AS108" i="17"/>
  <c r="AR108" i="17"/>
  <c r="AQ108" i="17"/>
  <c r="AP108" i="17"/>
  <c r="AO108" i="17"/>
  <c r="AN108" i="17"/>
  <c r="AM108" i="17"/>
  <c r="AL108" i="17"/>
  <c r="AK108" i="17"/>
  <c r="AJ108" i="17"/>
  <c r="AI108" i="17"/>
  <c r="AH108" i="17"/>
  <c r="AG108" i="17"/>
  <c r="AF108" i="17"/>
  <c r="AE108" i="17"/>
  <c r="AA108" i="17"/>
  <c r="Z108" i="17"/>
  <c r="Y108" i="17"/>
  <c r="X108" i="17"/>
  <c r="W108" i="17"/>
  <c r="V108" i="17"/>
  <c r="U108" i="17"/>
  <c r="T108" i="17"/>
  <c r="S108" i="17"/>
  <c r="P108" i="17"/>
  <c r="O108" i="17"/>
  <c r="N108" i="17"/>
  <c r="M108" i="17"/>
  <c r="L108" i="17"/>
  <c r="K108" i="17"/>
  <c r="F108" i="17"/>
  <c r="DM58" i="17"/>
  <c r="DM57" i="17"/>
  <c r="DM56" i="17"/>
  <c r="DM55" i="17"/>
  <c r="DM54" i="17"/>
  <c r="DM53" i="17"/>
  <c r="DM52" i="17"/>
  <c r="DM51" i="17"/>
  <c r="DM50" i="17"/>
  <c r="DM49" i="17"/>
  <c r="DM48" i="17"/>
  <c r="DM47" i="17"/>
  <c r="DM46" i="17"/>
  <c r="DM45" i="17"/>
  <c r="DM44" i="17"/>
  <c r="DM43" i="17"/>
  <c r="DM42" i="17"/>
  <c r="DM41" i="17"/>
  <c r="DM40" i="17"/>
  <c r="DM39" i="17"/>
  <c r="DM38" i="17"/>
  <c r="DM37" i="17"/>
  <c r="DM36" i="17"/>
  <c r="DM35" i="17"/>
  <c r="DM34" i="17"/>
  <c r="DM33" i="17"/>
  <c r="DM32" i="17"/>
  <c r="DM31" i="17"/>
  <c r="DM30" i="17"/>
  <c r="DM29" i="17"/>
  <c r="DM28" i="17"/>
  <c r="CC27" i="17"/>
  <c r="D27" i="17" s="1"/>
  <c r="A27" i="17"/>
  <c r="DK27" i="17" s="1"/>
  <c r="CC26" i="17"/>
  <c r="D26" i="17" s="1"/>
  <c r="A26" i="17"/>
  <c r="CC25" i="17"/>
  <c r="D25" i="17" s="1"/>
  <c r="A25" i="17"/>
  <c r="CC24" i="17"/>
  <c r="D24" i="17" s="1"/>
  <c r="A24" i="17"/>
  <c r="CC23" i="17"/>
  <c r="D23" i="17" s="1"/>
  <c r="A23" i="17"/>
  <c r="CC22" i="17"/>
  <c r="D22" i="17" s="1"/>
  <c r="A22" i="17"/>
  <c r="CC21" i="17"/>
  <c r="D21" i="17" s="1"/>
  <c r="A21" i="17"/>
  <c r="A20" i="17"/>
  <c r="DK19" i="17"/>
  <c r="CA17" i="17"/>
  <c r="BZ17" i="17"/>
  <c r="BY17" i="17"/>
  <c r="BP17" i="17"/>
  <c r="BO17" i="17"/>
  <c r="BN17" i="17"/>
  <c r="BM17" i="17"/>
  <c r="BL17" i="17"/>
  <c r="BK17" i="17"/>
  <c r="BJ17" i="17"/>
  <c r="BI17" i="17"/>
  <c r="BH17" i="17"/>
  <c r="BG17" i="17"/>
  <c r="BF17" i="17"/>
  <c r="BE17" i="17"/>
  <c r="BD17" i="17"/>
  <c r="BC17" i="17"/>
  <c r="BB17" i="17"/>
  <c r="BA17" i="17"/>
  <c r="AY17" i="17"/>
  <c r="AX17" i="17"/>
  <c r="AW17" i="17"/>
  <c r="AV17" i="17"/>
  <c r="AU17" i="17"/>
  <c r="AT17" i="17"/>
  <c r="AS17" i="17"/>
  <c r="AR17" i="17"/>
  <c r="AQ17" i="17"/>
  <c r="AP17" i="17"/>
  <c r="AO17" i="17"/>
  <c r="AN17" i="17"/>
  <c r="AM17" i="17"/>
  <c r="AL17" i="17"/>
  <c r="AK17" i="17"/>
  <c r="AJ17" i="17"/>
  <c r="AI17" i="17"/>
  <c r="AH17" i="17"/>
  <c r="AG17" i="17"/>
  <c r="AF17" i="17"/>
  <c r="AE17" i="17"/>
  <c r="AA17" i="17"/>
  <c r="Z17" i="17"/>
  <c r="Y17" i="17"/>
  <c r="X17" i="17"/>
  <c r="W17" i="17"/>
  <c r="V17" i="17"/>
  <c r="U17" i="17"/>
  <c r="T17" i="17"/>
  <c r="S17" i="17"/>
  <c r="P17" i="17"/>
  <c r="O17" i="17"/>
  <c r="N17" i="17"/>
  <c r="M17" i="17"/>
  <c r="L17" i="17"/>
  <c r="K17" i="17"/>
  <c r="J17" i="17"/>
  <c r="I17" i="17"/>
  <c r="CA16" i="17"/>
  <c r="BZ16" i="17"/>
  <c r="BY16" i="17"/>
  <c r="BP16" i="17"/>
  <c r="BO16" i="17"/>
  <c r="BN16" i="17"/>
  <c r="BM16" i="17"/>
  <c r="BL16" i="17"/>
  <c r="BK16" i="17"/>
  <c r="BJ16" i="17"/>
  <c r="BI16" i="17"/>
  <c r="BH16" i="17"/>
  <c r="BF16" i="17"/>
  <c r="BE16" i="17"/>
  <c r="BD16" i="17"/>
  <c r="BC16" i="17"/>
  <c r="BB16" i="17"/>
  <c r="BA16" i="17"/>
  <c r="AY16" i="17"/>
  <c r="AX16" i="17"/>
  <c r="AW16" i="17"/>
  <c r="AV16" i="17"/>
  <c r="AU16" i="17"/>
  <c r="AS16" i="17"/>
  <c r="AR16" i="17"/>
  <c r="AQ16" i="17"/>
  <c r="AP16" i="17"/>
  <c r="AO16" i="17"/>
  <c r="AN16" i="17"/>
  <c r="AM16" i="17"/>
  <c r="AL16" i="17"/>
  <c r="AK16" i="17"/>
  <c r="AJ16" i="17"/>
  <c r="AI16" i="17"/>
  <c r="AH16" i="17"/>
  <c r="AG16" i="17"/>
  <c r="AF16" i="17"/>
  <c r="AE16" i="17"/>
  <c r="AA16" i="17"/>
  <c r="Z16" i="17"/>
  <c r="Y16" i="17"/>
  <c r="X16" i="17"/>
  <c r="W16" i="17"/>
  <c r="V16" i="17"/>
  <c r="U16" i="17"/>
  <c r="T16" i="17"/>
  <c r="S16" i="17"/>
  <c r="P16" i="17"/>
  <c r="O16" i="17"/>
  <c r="N16" i="17"/>
  <c r="M16" i="17"/>
  <c r="L16" i="17"/>
  <c r="K16" i="17"/>
  <c r="J16" i="17"/>
  <c r="I16" i="17"/>
  <c r="CA15" i="17"/>
  <c r="BQ15" i="17"/>
  <c r="BM15" i="17"/>
  <c r="BI15" i="17"/>
  <c r="BH15" i="17"/>
  <c r="BD15" i="17"/>
  <c r="BC15" i="17"/>
  <c r="BB15" i="17"/>
  <c r="BA15" i="17"/>
  <c r="AU15" i="17"/>
  <c r="AQ15" i="17"/>
  <c r="AN15" i="17"/>
  <c r="AJ15" i="17"/>
  <c r="AG15" i="17"/>
  <c r="AA15" i="17"/>
  <c r="X15" i="17"/>
  <c r="U15" i="17"/>
  <c r="P15" i="17"/>
  <c r="M15" i="17"/>
  <c r="J15" i="17"/>
  <c r="F15" i="17"/>
  <c r="D9" i="17"/>
  <c r="F7" i="17"/>
  <c r="B6" i="17"/>
  <c r="B5" i="17"/>
  <c r="B4" i="17"/>
  <c r="B3" i="17"/>
  <c r="B2" i="17"/>
  <c r="B1" i="17"/>
  <c r="CD152" i="16"/>
  <c r="CC152" i="16"/>
  <c r="CB152" i="16"/>
  <c r="BO152" i="16"/>
  <c r="BM152" i="16"/>
  <c r="BL152" i="16"/>
  <c r="BK152" i="16"/>
  <c r="BI152" i="16"/>
  <c r="BH152" i="16"/>
  <c r="BG152" i="16"/>
  <c r="BF152" i="16"/>
  <c r="BE152" i="16"/>
  <c r="BD152" i="16"/>
  <c r="BC152" i="16"/>
  <c r="BB152" i="16"/>
  <c r="BA152" i="16"/>
  <c r="AZ152" i="16"/>
  <c r="AY152" i="16"/>
  <c r="AU152" i="16"/>
  <c r="AT152" i="16"/>
  <c r="AS152" i="16"/>
  <c r="AR152" i="16"/>
  <c r="AQ152" i="16"/>
  <c r="AP152" i="16"/>
  <c r="AL152" i="16"/>
  <c r="AK152" i="16"/>
  <c r="AJ152" i="16"/>
  <c r="AI152" i="16"/>
  <c r="AH152" i="16"/>
  <c r="AG152" i="16"/>
  <c r="AF152" i="16"/>
  <c r="AE152" i="16"/>
  <c r="AB152" i="16"/>
  <c r="AA152" i="16"/>
  <c r="Z152" i="16"/>
  <c r="W152" i="16"/>
  <c r="V152" i="16"/>
  <c r="T152" i="16"/>
  <c r="R152" i="16"/>
  <c r="Q152" i="16"/>
  <c r="P152" i="16"/>
  <c r="O152" i="16"/>
  <c r="N152" i="16"/>
  <c r="M152" i="16"/>
  <c r="L152" i="16"/>
  <c r="K152" i="16"/>
  <c r="J152" i="16"/>
  <c r="I152" i="16"/>
  <c r="H152" i="16"/>
  <c r="G152" i="16"/>
  <c r="F152" i="16"/>
  <c r="BG151" i="16"/>
  <c r="BF151" i="16"/>
  <c r="BE151" i="16"/>
  <c r="CG142" i="16"/>
  <c r="CF142" i="16"/>
  <c r="CE142" i="16"/>
  <c r="CD142" i="16"/>
  <c r="CC142" i="16"/>
  <c r="CB142" i="16"/>
  <c r="BD142" i="16"/>
  <c r="BC142" i="16"/>
  <c r="BB142" i="16"/>
  <c r="BA142" i="16"/>
  <c r="AZ142" i="16"/>
  <c r="AY142" i="16"/>
  <c r="CO141" i="16" a="1"/>
  <c r="CO141" i="16" s="1"/>
  <c r="BO142" i="16"/>
  <c r="BE142" i="16"/>
  <c r="CD138" i="16"/>
  <c r="CC138" i="16"/>
  <c r="CB138" i="16"/>
  <c r="BO138" i="16"/>
  <c r="BM138" i="16"/>
  <c r="BL138" i="16"/>
  <c r="BK138" i="16"/>
  <c r="BI138" i="16"/>
  <c r="BH138" i="16"/>
  <c r="BG138" i="16"/>
  <c r="BF138" i="16"/>
  <c r="BE138" i="16"/>
  <c r="BD138" i="16"/>
  <c r="BC138" i="16"/>
  <c r="BB138" i="16"/>
  <c r="BA138" i="16"/>
  <c r="AZ138" i="16"/>
  <c r="AY138" i="16"/>
  <c r="AU138" i="16"/>
  <c r="AT138" i="16"/>
  <c r="AS138" i="16"/>
  <c r="AR138" i="16"/>
  <c r="AQ138" i="16"/>
  <c r="AP138" i="16"/>
  <c r="AL138" i="16"/>
  <c r="AK138" i="16"/>
  <c r="AJ138" i="16"/>
  <c r="AI138" i="16"/>
  <c r="AH138" i="16"/>
  <c r="AG138" i="16"/>
  <c r="AF138" i="16"/>
  <c r="AE138" i="16"/>
  <c r="AB138" i="16"/>
  <c r="AA138" i="16"/>
  <c r="Z138" i="16"/>
  <c r="W138" i="16"/>
  <c r="V138" i="16"/>
  <c r="T138" i="16"/>
  <c r="R138" i="16"/>
  <c r="Q138" i="16"/>
  <c r="P138" i="16"/>
  <c r="O138" i="16"/>
  <c r="N138" i="16"/>
  <c r="M138" i="16"/>
  <c r="L138" i="16"/>
  <c r="K138" i="16"/>
  <c r="J138" i="16"/>
  <c r="I138" i="16"/>
  <c r="H138" i="16"/>
  <c r="G138" i="16"/>
  <c r="F138" i="16"/>
  <c r="CD136" i="16"/>
  <c r="CC136" i="16"/>
  <c r="CB136" i="16"/>
  <c r="BO136" i="16"/>
  <c r="BM136" i="16"/>
  <c r="BL136" i="16"/>
  <c r="BK136" i="16"/>
  <c r="BI136" i="16"/>
  <c r="BH136" i="16"/>
  <c r="BG136" i="16"/>
  <c r="BF136" i="16"/>
  <c r="BE136" i="16"/>
  <c r="BD136" i="16"/>
  <c r="BC136" i="16"/>
  <c r="BA136" i="16"/>
  <c r="AZ136" i="16"/>
  <c r="AU136" i="16"/>
  <c r="AT136" i="16"/>
  <c r="AR136" i="16"/>
  <c r="AQ136" i="16"/>
  <c r="AP136" i="16"/>
  <c r="AL136" i="16"/>
  <c r="AK136" i="16"/>
  <c r="AI136" i="16"/>
  <c r="AH136" i="16"/>
  <c r="AF136" i="16"/>
  <c r="AE136" i="16"/>
  <c r="AA136" i="16"/>
  <c r="Z136" i="16"/>
  <c r="V136" i="16"/>
  <c r="T136" i="16"/>
  <c r="Q136" i="16"/>
  <c r="P136" i="16"/>
  <c r="N136" i="16"/>
  <c r="M136" i="16"/>
  <c r="K136" i="16"/>
  <c r="J136" i="16"/>
  <c r="H136" i="16"/>
  <c r="G136" i="16"/>
  <c r="CD135" i="16"/>
  <c r="CC135" i="16"/>
  <c r="CB135" i="16"/>
  <c r="AR135" i="16"/>
  <c r="AQ135" i="16"/>
  <c r="AP135" i="16"/>
  <c r="AL135" i="16"/>
  <c r="AK135" i="16"/>
  <c r="AJ135" i="16"/>
  <c r="AI135" i="16"/>
  <c r="AH135" i="16"/>
  <c r="AG135" i="16"/>
  <c r="AF135" i="16"/>
  <c r="AE135" i="16"/>
  <c r="AB135" i="16"/>
  <c r="AA135" i="16"/>
  <c r="Z135" i="16"/>
  <c r="W135" i="16"/>
  <c r="V135" i="16"/>
  <c r="T135" i="16"/>
  <c r="R135" i="16"/>
  <c r="Q135" i="16"/>
  <c r="P135" i="16"/>
  <c r="O135" i="16"/>
  <c r="N135" i="16"/>
  <c r="M135" i="16"/>
  <c r="L135" i="16"/>
  <c r="K135" i="16"/>
  <c r="J135" i="16"/>
  <c r="I135" i="16"/>
  <c r="H135" i="16"/>
  <c r="G135" i="16"/>
  <c r="F135" i="16"/>
  <c r="CD132" i="16"/>
  <c r="CD137" i="16" s="1"/>
  <c r="CC132" i="16"/>
  <c r="CC137" i="16" s="1"/>
  <c r="CB132" i="16"/>
  <c r="CB137" i="16" s="1"/>
  <c r="BO132" i="16"/>
  <c r="BO137" i="16" s="1"/>
  <c r="BM132" i="16"/>
  <c r="BM137" i="16" s="1"/>
  <c r="BL132" i="16"/>
  <c r="BL137" i="16" s="1"/>
  <c r="BK132" i="16"/>
  <c r="BK137" i="16" s="1"/>
  <c r="BI132" i="16"/>
  <c r="BI137" i="16" s="1"/>
  <c r="BH132" i="16"/>
  <c r="BH137" i="16" s="1"/>
  <c r="AR132" i="16"/>
  <c r="AR137" i="16" s="1"/>
  <c r="AQ132" i="16"/>
  <c r="AQ137" i="16" s="1"/>
  <c r="AP132" i="16"/>
  <c r="AP137" i="16" s="1"/>
  <c r="AL132" i="16"/>
  <c r="AL137" i="16" s="1"/>
  <c r="AK132" i="16"/>
  <c r="AK137" i="16" s="1"/>
  <c r="AI132" i="16"/>
  <c r="AI137" i="16" s="1"/>
  <c r="AH132" i="16"/>
  <c r="AH137" i="16" s="1"/>
  <c r="AF132" i="16"/>
  <c r="AF137" i="16" s="1"/>
  <c r="AE132" i="16"/>
  <c r="AE137" i="16" s="1"/>
  <c r="AA132" i="16"/>
  <c r="AA137" i="16" s="1"/>
  <c r="Z132" i="16"/>
  <c r="Z137" i="16" s="1"/>
  <c r="V132" i="16"/>
  <c r="V137" i="16" s="1"/>
  <c r="T132" i="16"/>
  <c r="T137" i="16" s="1"/>
  <c r="Q132" i="16"/>
  <c r="Q137" i="16" s="1"/>
  <c r="P132" i="16"/>
  <c r="P137" i="16" s="1"/>
  <c r="N132" i="16"/>
  <c r="N137" i="16" s="1"/>
  <c r="M132" i="16"/>
  <c r="M137" i="16" s="1"/>
  <c r="K132" i="16"/>
  <c r="K137" i="16" s="1"/>
  <c r="J132" i="16"/>
  <c r="J137" i="16" s="1"/>
  <c r="H132" i="16"/>
  <c r="H137" i="16" s="1"/>
  <c r="G132" i="16"/>
  <c r="G137" i="16" s="1"/>
  <c r="BB131" i="16"/>
  <c r="BB136" i="16" s="1"/>
  <c r="AY131" i="16"/>
  <c r="AY136" i="16" s="1"/>
  <c r="AS131" i="16"/>
  <c r="AS136" i="16" s="1"/>
  <c r="AJ131" i="16"/>
  <c r="AJ136" i="16" s="1"/>
  <c r="AG131" i="16"/>
  <c r="AG132" i="16" s="1"/>
  <c r="AG137" i="16" s="1"/>
  <c r="AB131" i="16"/>
  <c r="AB132" i="16" s="1"/>
  <c r="AB137" i="16" s="1"/>
  <c r="W131" i="16"/>
  <c r="W136" i="16" s="1"/>
  <c r="R131" i="16"/>
  <c r="R136" i="16" s="1"/>
  <c r="O131" i="16"/>
  <c r="O136" i="16" s="1"/>
  <c r="L131" i="16"/>
  <c r="L136" i="16" s="1"/>
  <c r="I131" i="16"/>
  <c r="I132" i="16" s="1"/>
  <c r="I137" i="16" s="1"/>
  <c r="F131" i="16"/>
  <c r="F132" i="16" s="1"/>
  <c r="F137" i="16" s="1"/>
  <c r="BG130" i="16"/>
  <c r="BG132" i="16" s="1"/>
  <c r="BG137" i="16" s="1"/>
  <c r="BF130" i="16"/>
  <c r="BF135" i="16" s="1"/>
  <c r="BE130" i="16"/>
  <c r="BE132" i="16" s="1"/>
  <c r="BE137" i="16" s="1"/>
  <c r="BD130" i="16"/>
  <c r="BD132" i="16" s="1"/>
  <c r="BD137" i="16" s="1"/>
  <c r="BC130" i="16"/>
  <c r="BC132" i="16" s="1"/>
  <c r="BC137" i="16" s="1"/>
  <c r="BB130" i="16"/>
  <c r="BA130" i="16"/>
  <c r="BA135" i="16" s="1"/>
  <c r="AZ130" i="16"/>
  <c r="AZ132" i="16" s="1"/>
  <c r="AZ137" i="16" s="1"/>
  <c r="AY130" i="16"/>
  <c r="AU130" i="16"/>
  <c r="AU132" i="16" s="1"/>
  <c r="AU137" i="16" s="1"/>
  <c r="AT130" i="16"/>
  <c r="AT135" i="16" s="1"/>
  <c r="AS130" i="16"/>
  <c r="CD128" i="16"/>
  <c r="CC128" i="16"/>
  <c r="CB128" i="16"/>
  <c r="BO128" i="16"/>
  <c r="BM128" i="16"/>
  <c r="BL128" i="16"/>
  <c r="BK128" i="16"/>
  <c r="BI128" i="16"/>
  <c r="BH128" i="16"/>
  <c r="BG128" i="16"/>
  <c r="BF128" i="16"/>
  <c r="BE128" i="16"/>
  <c r="BD128" i="16"/>
  <c r="BC128" i="16"/>
  <c r="BB128" i="16"/>
  <c r="BA128" i="16"/>
  <c r="AZ128" i="16"/>
  <c r="AY128" i="16"/>
  <c r="AU128" i="16"/>
  <c r="AT128" i="16"/>
  <c r="AS128" i="16"/>
  <c r="AR128" i="16"/>
  <c r="AQ128" i="16"/>
  <c r="AP128" i="16"/>
  <c r="AL128" i="16"/>
  <c r="AK128" i="16"/>
  <c r="AJ128" i="16"/>
  <c r="AI128" i="16"/>
  <c r="AH128" i="16"/>
  <c r="AG128" i="16"/>
  <c r="AF128" i="16"/>
  <c r="AE128" i="16"/>
  <c r="AB128" i="16"/>
  <c r="AA128" i="16"/>
  <c r="Z128" i="16"/>
  <c r="W128" i="16"/>
  <c r="V128" i="16"/>
  <c r="T128" i="16"/>
  <c r="R128" i="16"/>
  <c r="Q128" i="16"/>
  <c r="P128" i="16"/>
  <c r="O128" i="16"/>
  <c r="N128" i="16"/>
  <c r="M128" i="16"/>
  <c r="L128" i="16"/>
  <c r="K128" i="16"/>
  <c r="J128" i="16"/>
  <c r="I128" i="16"/>
  <c r="H128" i="16"/>
  <c r="G128" i="16"/>
  <c r="F128" i="16"/>
  <c r="CD126" i="16"/>
  <c r="CC126" i="16"/>
  <c r="CB126" i="16"/>
  <c r="BO126" i="16"/>
  <c r="BM126" i="16"/>
  <c r="BL126" i="16"/>
  <c r="BK126" i="16"/>
  <c r="BI126" i="16"/>
  <c r="BH126" i="16"/>
  <c r="BG126" i="16"/>
  <c r="BF126" i="16"/>
  <c r="BE126" i="16"/>
  <c r="BD126" i="16"/>
  <c r="BC126" i="16"/>
  <c r="BB126" i="16"/>
  <c r="BA126" i="16"/>
  <c r="AZ126" i="16"/>
  <c r="AY126" i="16"/>
  <c r="AU126" i="16"/>
  <c r="AT126" i="16"/>
  <c r="AS126" i="16"/>
  <c r="AR126" i="16"/>
  <c r="AQ126" i="16"/>
  <c r="AP126" i="16"/>
  <c r="AL126" i="16"/>
  <c r="AK126" i="16"/>
  <c r="AJ126" i="16"/>
  <c r="AI126" i="16"/>
  <c r="AH126" i="16"/>
  <c r="AG126" i="16"/>
  <c r="AF126" i="16"/>
  <c r="AE126" i="16"/>
  <c r="AB126" i="16"/>
  <c r="AA126" i="16"/>
  <c r="Z126" i="16"/>
  <c r="W126" i="16"/>
  <c r="V126" i="16"/>
  <c r="T126" i="16"/>
  <c r="R126" i="16"/>
  <c r="Q126" i="16"/>
  <c r="P126" i="16"/>
  <c r="O126" i="16"/>
  <c r="N126" i="16"/>
  <c r="M126" i="16"/>
  <c r="L126" i="16"/>
  <c r="K126" i="16"/>
  <c r="J126" i="16"/>
  <c r="I126" i="16"/>
  <c r="H126" i="16"/>
  <c r="G126" i="16"/>
  <c r="F126" i="16"/>
  <c r="CD125" i="16"/>
  <c r="CC125" i="16"/>
  <c r="CB125" i="16"/>
  <c r="BO125" i="16"/>
  <c r="BM125" i="16"/>
  <c r="BL125" i="16"/>
  <c r="BK125" i="16"/>
  <c r="BI125" i="16"/>
  <c r="BH125" i="16"/>
  <c r="BG125" i="16"/>
  <c r="BF125" i="16"/>
  <c r="BE125" i="16"/>
  <c r="BD125" i="16"/>
  <c r="BC125" i="16"/>
  <c r="BA125" i="16"/>
  <c r="AZ125" i="16"/>
  <c r="AY125" i="16"/>
  <c r="AU125" i="16"/>
  <c r="AT125" i="16"/>
  <c r="AS125" i="16"/>
  <c r="AR125" i="16"/>
  <c r="AQ125" i="16"/>
  <c r="AP125" i="16"/>
  <c r="AL125" i="16"/>
  <c r="AK125" i="16"/>
  <c r="AJ125" i="16"/>
  <c r="AI125" i="16"/>
  <c r="AH125" i="16"/>
  <c r="AG125" i="16"/>
  <c r="AF125" i="16"/>
  <c r="AE125" i="16"/>
  <c r="AB125" i="16"/>
  <c r="AA125" i="16"/>
  <c r="Z125" i="16"/>
  <c r="W125" i="16"/>
  <c r="V125" i="16"/>
  <c r="T125" i="16"/>
  <c r="R125" i="16"/>
  <c r="Q125" i="16"/>
  <c r="P125" i="16"/>
  <c r="O125" i="16"/>
  <c r="N125" i="16"/>
  <c r="M125" i="16"/>
  <c r="L125" i="16"/>
  <c r="K125" i="16"/>
  <c r="J125" i="16"/>
  <c r="I125" i="16"/>
  <c r="H125" i="16"/>
  <c r="G125" i="16"/>
  <c r="F125" i="16"/>
  <c r="CD122" i="16"/>
  <c r="CD127" i="16" s="1"/>
  <c r="CC122" i="16"/>
  <c r="CC127" i="16" s="1"/>
  <c r="CB122" i="16"/>
  <c r="CB127" i="16" s="1"/>
  <c r="BO122" i="16"/>
  <c r="BO127" i="16" s="1"/>
  <c r="BM122" i="16"/>
  <c r="BM127" i="16" s="1"/>
  <c r="BL122" i="16"/>
  <c r="BL127" i="16" s="1"/>
  <c r="BK122" i="16"/>
  <c r="BK127" i="16" s="1"/>
  <c r="BI122" i="16"/>
  <c r="BI127" i="16" s="1"/>
  <c r="BH122" i="16"/>
  <c r="BH127" i="16" s="1"/>
  <c r="BG122" i="16"/>
  <c r="BG127" i="16" s="1"/>
  <c r="BF122" i="16"/>
  <c r="BF127" i="16" s="1"/>
  <c r="BE122" i="16"/>
  <c r="BE127" i="16" s="1"/>
  <c r="BD122" i="16"/>
  <c r="BD127" i="16" s="1"/>
  <c r="BC122" i="16"/>
  <c r="BC127" i="16" s="1"/>
  <c r="BA122" i="16"/>
  <c r="BA127" i="16" s="1"/>
  <c r="AZ122" i="16"/>
  <c r="AZ127" i="16" s="1"/>
  <c r="AY122" i="16"/>
  <c r="AY127" i="16" s="1"/>
  <c r="AU122" i="16"/>
  <c r="AU127" i="16" s="1"/>
  <c r="AT122" i="16"/>
  <c r="AT127" i="16" s="1"/>
  <c r="AS122" i="16"/>
  <c r="AS127" i="16" s="1"/>
  <c r="AR122" i="16"/>
  <c r="AR127" i="16" s="1"/>
  <c r="AQ122" i="16"/>
  <c r="AQ127" i="16" s="1"/>
  <c r="AP122" i="16"/>
  <c r="AP127" i="16" s="1"/>
  <c r="AL122" i="16"/>
  <c r="AL127" i="16" s="1"/>
  <c r="AK122" i="16"/>
  <c r="AK127" i="16" s="1"/>
  <c r="AJ122" i="16"/>
  <c r="AJ127" i="16" s="1"/>
  <c r="AI122" i="16"/>
  <c r="AI127" i="16" s="1"/>
  <c r="AH122" i="16"/>
  <c r="AH127" i="16" s="1"/>
  <c r="AG122" i="16"/>
  <c r="AG127" i="16" s="1"/>
  <c r="AF122" i="16"/>
  <c r="AF127" i="16" s="1"/>
  <c r="AE122" i="16"/>
  <c r="AE127" i="16" s="1"/>
  <c r="AB122" i="16"/>
  <c r="AB127" i="16" s="1"/>
  <c r="AA122" i="16"/>
  <c r="AA127" i="16" s="1"/>
  <c r="Z122" i="16"/>
  <c r="Z127" i="16" s="1"/>
  <c r="W122" i="16"/>
  <c r="W127" i="16" s="1"/>
  <c r="V122" i="16"/>
  <c r="V127" i="16" s="1"/>
  <c r="T122" i="16"/>
  <c r="T127" i="16" s="1"/>
  <c r="R122" i="16"/>
  <c r="R127" i="16" s="1"/>
  <c r="Q122" i="16"/>
  <c r="Q127" i="16" s="1"/>
  <c r="P122" i="16"/>
  <c r="P127" i="16" s="1"/>
  <c r="O122" i="16"/>
  <c r="O127" i="16" s="1"/>
  <c r="N122" i="16"/>
  <c r="N127" i="16" s="1"/>
  <c r="M122" i="16"/>
  <c r="M127" i="16" s="1"/>
  <c r="L122" i="16"/>
  <c r="L127" i="16" s="1"/>
  <c r="K122" i="16"/>
  <c r="K127" i="16" s="1"/>
  <c r="J122" i="16"/>
  <c r="J127" i="16" s="1"/>
  <c r="I122" i="16"/>
  <c r="I127" i="16" s="1"/>
  <c r="H122" i="16"/>
  <c r="H127" i="16" s="1"/>
  <c r="G122" i="16"/>
  <c r="G127" i="16" s="1"/>
  <c r="F122" i="16"/>
  <c r="F127" i="16" s="1"/>
  <c r="CO121" i="16" a="1"/>
  <c r="CO121" i="16" s="1"/>
  <c r="BB120" i="16"/>
  <c r="BB122" i="16" s="1"/>
  <c r="BB127" i="16" s="1"/>
  <c r="CD116" i="16"/>
  <c r="CC116" i="16"/>
  <c r="CB116" i="16"/>
  <c r="BO116" i="16"/>
  <c r="BN116" i="16"/>
  <c r="BM116" i="16"/>
  <c r="BL116" i="16"/>
  <c r="BK116" i="16"/>
  <c r="BJ116" i="16"/>
  <c r="BI116" i="16"/>
  <c r="BH116" i="16"/>
  <c r="BG116" i="16"/>
  <c r="BF116" i="16"/>
  <c r="BE116" i="16"/>
  <c r="BD116" i="16"/>
  <c r="BC116" i="16"/>
  <c r="BB116" i="16"/>
  <c r="BA116" i="16"/>
  <c r="AZ116" i="16"/>
  <c r="AY116" i="16"/>
  <c r="AU116" i="16"/>
  <c r="AT116" i="16"/>
  <c r="AS116" i="16"/>
  <c r="AR116" i="16"/>
  <c r="AQ116" i="16"/>
  <c r="AP116" i="16"/>
  <c r="AL116" i="16"/>
  <c r="AK116" i="16"/>
  <c r="AJ116" i="16"/>
  <c r="AI116" i="16"/>
  <c r="AH116" i="16"/>
  <c r="AG116" i="16"/>
  <c r="AF116" i="16"/>
  <c r="AE116" i="16"/>
  <c r="AB116" i="16"/>
  <c r="AA116" i="16"/>
  <c r="Z116" i="16"/>
  <c r="W116" i="16"/>
  <c r="V116" i="16"/>
  <c r="T116" i="16"/>
  <c r="R116" i="16"/>
  <c r="Q116" i="16"/>
  <c r="P116" i="16"/>
  <c r="O116" i="16"/>
  <c r="N116" i="16"/>
  <c r="M116" i="16"/>
  <c r="L116" i="16"/>
  <c r="K116" i="16"/>
  <c r="J116" i="16"/>
  <c r="I116" i="16"/>
  <c r="H116" i="16"/>
  <c r="G116" i="16"/>
  <c r="F116" i="16"/>
  <c r="CD115" i="16"/>
  <c r="CC115" i="16"/>
  <c r="CB115" i="16"/>
  <c r="BO115" i="16"/>
  <c r="BN115" i="16"/>
  <c r="BM115" i="16"/>
  <c r="BL115" i="16"/>
  <c r="BK115" i="16"/>
  <c r="BJ115" i="16"/>
  <c r="BI115" i="16"/>
  <c r="BH115" i="16"/>
  <c r="BG115" i="16"/>
  <c r="BF115" i="16"/>
  <c r="BE115" i="16"/>
  <c r="BD115" i="16"/>
  <c r="BC115" i="16"/>
  <c r="BB115" i="16"/>
  <c r="BA115" i="16"/>
  <c r="AZ115" i="16"/>
  <c r="AY115" i="16"/>
  <c r="AU115" i="16"/>
  <c r="AT115" i="16"/>
  <c r="AS115" i="16"/>
  <c r="AR115" i="16"/>
  <c r="AQ115" i="16"/>
  <c r="AP115" i="16"/>
  <c r="AL115" i="16"/>
  <c r="AK115" i="16"/>
  <c r="AJ115" i="16"/>
  <c r="AI115" i="16"/>
  <c r="AH115" i="16"/>
  <c r="AG115" i="16"/>
  <c r="AF115" i="16"/>
  <c r="AE115" i="16"/>
  <c r="AB115" i="16"/>
  <c r="AA115" i="16"/>
  <c r="Z115" i="16"/>
  <c r="W115" i="16"/>
  <c r="V115" i="16"/>
  <c r="T115" i="16"/>
  <c r="R115" i="16"/>
  <c r="Q115" i="16"/>
  <c r="P115" i="16"/>
  <c r="O115" i="16"/>
  <c r="N115" i="16"/>
  <c r="M115" i="16"/>
  <c r="L115" i="16"/>
  <c r="K115" i="16"/>
  <c r="J115" i="16"/>
  <c r="I115" i="16"/>
  <c r="H115" i="16"/>
  <c r="G115" i="16"/>
  <c r="F115" i="16"/>
  <c r="CD112" i="16"/>
  <c r="CC112" i="16"/>
  <c r="CB112" i="16"/>
  <c r="BO112" i="16"/>
  <c r="BM112" i="16"/>
  <c r="BL112" i="16"/>
  <c r="BK112" i="16"/>
  <c r="BI112" i="16"/>
  <c r="BH112" i="16"/>
  <c r="BG112" i="16"/>
  <c r="BF112" i="16"/>
  <c r="BE112" i="16"/>
  <c r="BD112" i="16"/>
  <c r="BC112" i="16"/>
  <c r="BB112" i="16"/>
  <c r="BA112" i="16"/>
  <c r="AZ112" i="16"/>
  <c r="AY112" i="16"/>
  <c r="AU112" i="16"/>
  <c r="AT112" i="16"/>
  <c r="AS112" i="16"/>
  <c r="AR112" i="16"/>
  <c r="AQ112" i="16"/>
  <c r="AP112" i="16"/>
  <c r="AL112" i="16"/>
  <c r="AK112" i="16"/>
  <c r="AJ112" i="16"/>
  <c r="AI112" i="16"/>
  <c r="AH112" i="16"/>
  <c r="AG112" i="16"/>
  <c r="AF112" i="16"/>
  <c r="AE112" i="16"/>
  <c r="AB112" i="16"/>
  <c r="AA112" i="16"/>
  <c r="Z112" i="16"/>
  <c r="W112" i="16"/>
  <c r="V112" i="16"/>
  <c r="T112" i="16"/>
  <c r="R112" i="16"/>
  <c r="Q112" i="16"/>
  <c r="P112" i="16"/>
  <c r="O112" i="16"/>
  <c r="N112" i="16"/>
  <c r="M112" i="16"/>
  <c r="L112" i="16"/>
  <c r="K112" i="16"/>
  <c r="J112" i="16"/>
  <c r="I112" i="16"/>
  <c r="H112" i="16"/>
  <c r="G112" i="16"/>
  <c r="F112" i="16"/>
  <c r="CO111" i="16" a="1"/>
  <c r="CO111" i="16" s="1"/>
  <c r="AF59" i="16"/>
  <c r="EC58" i="16"/>
  <c r="AF58" i="16"/>
  <c r="EC57" i="16"/>
  <c r="AF57" i="16"/>
  <c r="EC56" i="16"/>
  <c r="AF56" i="16"/>
  <c r="EC55" i="16"/>
  <c r="AF55" i="16"/>
  <c r="EC54" i="16"/>
  <c r="AF54" i="16"/>
  <c r="EC53" i="16"/>
  <c r="AF53" i="16"/>
  <c r="EC52" i="16"/>
  <c r="AF52" i="16"/>
  <c r="EC51" i="16"/>
  <c r="AF51" i="16"/>
  <c r="EC50" i="16"/>
  <c r="AF50" i="16"/>
  <c r="EC49" i="16"/>
  <c r="AF49" i="16"/>
  <c r="EC48" i="16"/>
  <c r="AF48" i="16"/>
  <c r="EC47" i="16"/>
  <c r="AF47" i="16"/>
  <c r="EC46" i="16"/>
  <c r="AF46" i="16"/>
  <c r="EC45" i="16"/>
  <c r="AF45" i="16"/>
  <c r="EC44" i="16"/>
  <c r="AF44" i="16"/>
  <c r="EC43" i="16"/>
  <c r="AF43" i="16"/>
  <c r="EC42" i="16"/>
  <c r="AF42" i="16"/>
  <c r="EC41" i="16"/>
  <c r="AF41" i="16"/>
  <c r="EC40" i="16"/>
  <c r="AF40" i="16"/>
  <c r="EC39" i="16"/>
  <c r="AF39" i="16"/>
  <c r="EC38" i="16"/>
  <c r="AF38" i="16"/>
  <c r="EC37" i="16"/>
  <c r="AF37" i="16"/>
  <c r="EC36" i="16"/>
  <c r="AF36" i="16"/>
  <c r="EC35" i="16"/>
  <c r="AF35" i="16"/>
  <c r="EC34" i="16"/>
  <c r="AF34" i="16"/>
  <c r="EC33" i="16"/>
  <c r="AF33" i="16"/>
  <c r="EC32" i="16"/>
  <c r="AF32" i="16"/>
  <c r="EC31" i="16"/>
  <c r="AF31" i="16"/>
  <c r="EC30" i="16"/>
  <c r="AF30" i="16"/>
  <c r="EC29" i="16"/>
  <c r="AF29" i="16"/>
  <c r="EC28" i="16"/>
  <c r="AF28" i="16"/>
  <c r="EA27" i="16"/>
  <c r="A14" i="19" s="1"/>
  <c r="CF27" i="16"/>
  <c r="BO27" i="16"/>
  <c r="BN27" i="16"/>
  <c r="BK27" i="16"/>
  <c r="BJ27" i="16"/>
  <c r="BG27" i="16"/>
  <c r="AX27" i="16"/>
  <c r="AU27" i="16"/>
  <c r="AR27" i="16"/>
  <c r="AL27" i="16"/>
  <c r="AF27" i="16"/>
  <c r="AA27" i="16"/>
  <c r="Q27" i="16"/>
  <c r="N27" i="16"/>
  <c r="K27" i="16"/>
  <c r="H27" i="16"/>
  <c r="D27" i="16"/>
  <c r="EB27" i="16" s="1"/>
  <c r="T25" i="18" s="1"/>
  <c r="EA26" i="16"/>
  <c r="CF26" i="16"/>
  <c r="BO26" i="16"/>
  <c r="BN26" i="16"/>
  <c r="BK26" i="16"/>
  <c r="BJ26" i="16"/>
  <c r="BG26" i="16"/>
  <c r="AX26" i="16"/>
  <c r="AU26" i="16"/>
  <c r="AR26" i="16"/>
  <c r="AL26" i="16"/>
  <c r="AF26" i="16"/>
  <c r="AA26" i="16"/>
  <c r="Q26" i="16"/>
  <c r="N26" i="16"/>
  <c r="K26" i="16"/>
  <c r="H26" i="16"/>
  <c r="D26" i="16"/>
  <c r="EB26" i="16" s="1"/>
  <c r="EA25" i="16"/>
  <c r="BO25" i="16"/>
  <c r="BN25" i="16"/>
  <c r="BK25" i="16"/>
  <c r="BJ25" i="16"/>
  <c r="BG25" i="16"/>
  <c r="AX25" i="16"/>
  <c r="AU25" i="16"/>
  <c r="AR25" i="16"/>
  <c r="AL25" i="16"/>
  <c r="AF25" i="16"/>
  <c r="AA25" i="16"/>
  <c r="Q25" i="16"/>
  <c r="N25" i="16"/>
  <c r="K25" i="16"/>
  <c r="H25" i="16"/>
  <c r="D25" i="16"/>
  <c r="EB25" i="16" s="1"/>
  <c r="EA24" i="16"/>
  <c r="CF24" i="16"/>
  <c r="BO24" i="16"/>
  <c r="BN24" i="16"/>
  <c r="BK24" i="16"/>
  <c r="BJ24" i="16"/>
  <c r="BG24" i="16"/>
  <c r="AX24" i="16"/>
  <c r="AU24" i="16"/>
  <c r="AR24" i="16"/>
  <c r="AL24" i="16"/>
  <c r="AF24" i="16"/>
  <c r="AA24" i="16"/>
  <c r="Q24" i="16"/>
  <c r="N24" i="16"/>
  <c r="K24" i="16"/>
  <c r="H24" i="16"/>
  <c r="D24" i="16"/>
  <c r="B86" i="32" s="1"/>
  <c r="EA23" i="16"/>
  <c r="CF23" i="16"/>
  <c r="BO23" i="16"/>
  <c r="BN23" i="16"/>
  <c r="BK23" i="16"/>
  <c r="BJ23" i="16"/>
  <c r="BG23" i="16"/>
  <c r="AX23" i="16"/>
  <c r="AU23" i="16"/>
  <c r="AR23" i="16"/>
  <c r="AL23" i="16"/>
  <c r="AF23" i="16"/>
  <c r="AA23" i="16"/>
  <c r="Q23" i="16"/>
  <c r="N23" i="16"/>
  <c r="K23" i="16"/>
  <c r="H23" i="16"/>
  <c r="D23" i="16"/>
  <c r="EB23" i="16" s="1"/>
  <c r="EA22" i="16"/>
  <c r="CF22" i="16"/>
  <c r="BO22" i="16"/>
  <c r="BN22" i="16"/>
  <c r="BK22" i="16"/>
  <c r="BJ22" i="16"/>
  <c r="BG22" i="16"/>
  <c r="AX22" i="16"/>
  <c r="AU22" i="16"/>
  <c r="AR22" i="16"/>
  <c r="AL22" i="16"/>
  <c r="AF22" i="16"/>
  <c r="AA22" i="16"/>
  <c r="Q22" i="16"/>
  <c r="N22" i="16"/>
  <c r="K22" i="16"/>
  <c r="H22" i="16"/>
  <c r="D22" i="16"/>
  <c r="EB22" i="16" s="1"/>
  <c r="EA21" i="16"/>
  <c r="BO21" i="16"/>
  <c r="BN21" i="16"/>
  <c r="BK21" i="16"/>
  <c r="BJ21" i="16"/>
  <c r="BG21" i="16"/>
  <c r="AX21" i="16"/>
  <c r="AU21" i="16"/>
  <c r="AR21" i="16"/>
  <c r="AL21" i="16"/>
  <c r="AF21" i="16"/>
  <c r="AA21" i="16"/>
  <c r="Q21" i="16"/>
  <c r="N21" i="16"/>
  <c r="K21" i="16"/>
  <c r="H21" i="16"/>
  <c r="D21" i="16"/>
  <c r="EB21" i="16" s="1"/>
  <c r="EA20" i="16"/>
  <c r="CF20" i="16"/>
  <c r="BO20" i="16"/>
  <c r="BN20" i="16"/>
  <c r="BK20" i="16"/>
  <c r="BJ20" i="16"/>
  <c r="BG20" i="16"/>
  <c r="AX20" i="16"/>
  <c r="AU20" i="16"/>
  <c r="AR20" i="16"/>
  <c r="AL20" i="16"/>
  <c r="AF20" i="16"/>
  <c r="AA20" i="16"/>
  <c r="Q20" i="16"/>
  <c r="N20" i="16"/>
  <c r="K20" i="16"/>
  <c r="H20" i="16"/>
  <c r="D20" i="16"/>
  <c r="EA19" i="16"/>
  <c r="BM19" i="16"/>
  <c r="BL19" i="16"/>
  <c r="BI19" i="16"/>
  <c r="BH19" i="16"/>
  <c r="BF19" i="16"/>
  <c r="BE19" i="16"/>
  <c r="AW19" i="16"/>
  <c r="AV19" i="16"/>
  <c r="AT19" i="16"/>
  <c r="AS19" i="16"/>
  <c r="AP19" i="16"/>
  <c r="AK19" i="16"/>
  <c r="AJ19" i="16"/>
  <c r="AH19" i="16"/>
  <c r="AG19" i="16"/>
  <c r="AE19" i="16"/>
  <c r="AF19" i="16" s="1"/>
  <c r="AD19" i="16"/>
  <c r="AC19" i="16"/>
  <c r="AB19" i="16"/>
  <c r="Z19" i="16"/>
  <c r="AA19" i="16" s="1"/>
  <c r="Y19" i="16"/>
  <c r="X19" i="16"/>
  <c r="W19" i="16"/>
  <c r="R19" i="16"/>
  <c r="Q19" i="16"/>
  <c r="M19" i="16"/>
  <c r="L19" i="16"/>
  <c r="J19" i="16"/>
  <c r="I19" i="16"/>
  <c r="G19" i="16"/>
  <c r="F19" i="16"/>
  <c r="AL17" i="16"/>
  <c r="E9" i="16"/>
  <c r="B6" i="16"/>
  <c r="B5" i="16"/>
  <c r="B4" i="16"/>
  <c r="B3" i="16"/>
  <c r="B2" i="16"/>
  <c r="B1" i="16"/>
  <c r="A9" i="44"/>
  <c r="A2" i="44"/>
  <c r="A1" i="44"/>
  <c r="A76" i="24"/>
  <c r="A75" i="24"/>
  <c r="A72" i="24"/>
  <c r="A71" i="24"/>
  <c r="A70" i="24"/>
  <c r="A69" i="24"/>
  <c r="A68" i="24"/>
  <c r="A67" i="24"/>
  <c r="A66" i="24"/>
  <c r="A65" i="24"/>
  <c r="A64" i="24"/>
  <c r="A63" i="24"/>
  <c r="A62" i="24"/>
  <c r="A61" i="24"/>
  <c r="A60" i="24"/>
  <c r="A59" i="24"/>
  <c r="A58" i="24"/>
  <c r="A57" i="24"/>
  <c r="A56" i="24"/>
  <c r="A55" i="24"/>
  <c r="A54" i="24"/>
  <c r="A53" i="24"/>
  <c r="A52" i="24"/>
  <c r="A51" i="24"/>
  <c r="A50" i="24"/>
  <c r="A49" i="24"/>
  <c r="A46" i="24"/>
  <c r="A45" i="24"/>
  <c r="A44" i="24"/>
  <c r="A43" i="24"/>
  <c r="A42" i="24"/>
  <c r="A41" i="24"/>
  <c r="A40" i="24"/>
  <c r="A39" i="24"/>
  <c r="A38" i="24"/>
  <c r="A37" i="24"/>
  <c r="A36" i="24"/>
  <c r="A35" i="24"/>
  <c r="A34" i="24"/>
  <c r="A33" i="24"/>
  <c r="A32" i="24"/>
  <c r="A31" i="24"/>
  <c r="A30" i="24"/>
  <c r="A29" i="24"/>
  <c r="A28" i="24"/>
  <c r="A27" i="24"/>
  <c r="A26" i="24"/>
  <c r="A25" i="24"/>
  <c r="A24" i="24"/>
  <c r="A23" i="24"/>
  <c r="A22" i="24"/>
  <c r="A21" i="24"/>
  <c r="A20" i="24"/>
  <c r="A14" i="24"/>
  <c r="A9" i="24"/>
  <c r="A8" i="24"/>
  <c r="J3" i="24"/>
  <c r="I3" i="24"/>
  <c r="H3" i="24"/>
  <c r="G3" i="24"/>
  <c r="F3" i="24"/>
  <c r="J1" i="24"/>
  <c r="I1" i="24"/>
  <c r="H1" i="24"/>
  <c r="G1" i="24"/>
  <c r="F1" i="24"/>
  <c r="M75" i="45"/>
  <c r="A75" i="45"/>
  <c r="M74" i="45"/>
  <c r="A74" i="45"/>
  <c r="M72" i="45"/>
  <c r="A72" i="45"/>
  <c r="M71" i="45"/>
  <c r="A71" i="45"/>
  <c r="M70" i="45"/>
  <c r="A70" i="45"/>
  <c r="M69" i="45"/>
  <c r="A69" i="45"/>
  <c r="M68" i="45"/>
  <c r="A68" i="45"/>
  <c r="M67" i="45"/>
  <c r="A67" i="45"/>
  <c r="M66" i="45"/>
  <c r="A66" i="45"/>
  <c r="M65" i="45"/>
  <c r="A65" i="45"/>
  <c r="M64" i="45"/>
  <c r="A64" i="45"/>
  <c r="M63" i="45"/>
  <c r="A63" i="45"/>
  <c r="M62" i="45"/>
  <c r="A62" i="45"/>
  <c r="M61" i="45"/>
  <c r="A61" i="45"/>
  <c r="M60" i="45"/>
  <c r="A60" i="45"/>
  <c r="M59" i="45"/>
  <c r="A59" i="45"/>
  <c r="M58" i="45"/>
  <c r="A58" i="45"/>
  <c r="M57" i="45"/>
  <c r="A57" i="45"/>
  <c r="M56" i="45"/>
  <c r="A56" i="45"/>
  <c r="M55" i="45"/>
  <c r="A55" i="45"/>
  <c r="M54" i="45"/>
  <c r="A54" i="45"/>
  <c r="M53" i="45"/>
  <c r="A53" i="45"/>
  <c r="M52" i="45"/>
  <c r="A52" i="45"/>
  <c r="M51" i="45"/>
  <c r="A51" i="45"/>
  <c r="M50" i="45"/>
  <c r="A50" i="45"/>
  <c r="M49" i="45"/>
  <c r="A49" i="45"/>
  <c r="M48" i="45"/>
  <c r="A48" i="45"/>
  <c r="M46" i="45"/>
  <c r="A46" i="45"/>
  <c r="M45" i="45"/>
  <c r="A45" i="45"/>
  <c r="M44" i="45"/>
  <c r="A44" i="45"/>
  <c r="M43" i="45"/>
  <c r="A43" i="45"/>
  <c r="M42" i="45"/>
  <c r="A42" i="45"/>
  <c r="M41" i="45"/>
  <c r="A41" i="45"/>
  <c r="M40" i="45"/>
  <c r="A40" i="45"/>
  <c r="M39" i="45"/>
  <c r="A39" i="45"/>
  <c r="M38" i="45"/>
  <c r="A38" i="45"/>
  <c r="M37" i="45"/>
  <c r="A37" i="45"/>
  <c r="M36" i="45"/>
  <c r="A36" i="45"/>
  <c r="M35" i="45"/>
  <c r="A35" i="45"/>
  <c r="M34" i="45"/>
  <c r="A34" i="45"/>
  <c r="M33" i="45"/>
  <c r="A33" i="45"/>
  <c r="M32" i="45"/>
  <c r="A32" i="45"/>
  <c r="M31" i="45"/>
  <c r="A31" i="45"/>
  <c r="M30" i="45"/>
  <c r="A30" i="45"/>
  <c r="M29" i="45"/>
  <c r="A29" i="45"/>
  <c r="M28" i="45"/>
  <c r="A28" i="45"/>
  <c r="M27" i="45"/>
  <c r="A27" i="45"/>
  <c r="M26" i="45"/>
  <c r="A26" i="45"/>
  <c r="M25" i="45"/>
  <c r="A25" i="45"/>
  <c r="M24" i="45"/>
  <c r="A24" i="45"/>
  <c r="M23" i="45"/>
  <c r="A23" i="45"/>
  <c r="M22" i="45"/>
  <c r="A22" i="45"/>
  <c r="M21" i="45"/>
  <c r="A21" i="45"/>
  <c r="M20" i="45"/>
  <c r="S20" i="45" s="1"/>
  <c r="U20" i="45" s="1"/>
  <c r="A20" i="45"/>
  <c r="A19" i="45"/>
  <c r="A13" i="45"/>
  <c r="A9" i="45"/>
  <c r="A8" i="45"/>
  <c r="A2" i="45"/>
  <c r="A1" i="45"/>
  <c r="A75" i="28"/>
  <c r="A74" i="28"/>
  <c r="A71" i="28"/>
  <c r="A70" i="28"/>
  <c r="A69" i="28"/>
  <c r="A68" i="28"/>
  <c r="A67" i="28"/>
  <c r="A66" i="28"/>
  <c r="A65" i="28"/>
  <c r="A64" i="28"/>
  <c r="A63" i="28"/>
  <c r="A62" i="28"/>
  <c r="A61" i="28"/>
  <c r="A60" i="28"/>
  <c r="A59" i="28"/>
  <c r="A58" i="28"/>
  <c r="A57" i="28"/>
  <c r="A56" i="28"/>
  <c r="A55" i="28"/>
  <c r="A54" i="28"/>
  <c r="A53" i="28"/>
  <c r="A52" i="28"/>
  <c r="A51" i="28"/>
  <c r="A50" i="28"/>
  <c r="A49" i="28"/>
  <c r="A48" i="28"/>
  <c r="A45" i="28"/>
  <c r="A44" i="28"/>
  <c r="A43" i="28"/>
  <c r="A42" i="28"/>
  <c r="A41" i="28"/>
  <c r="A40" i="28"/>
  <c r="A39" i="28"/>
  <c r="A38" i="28"/>
  <c r="A37" i="28"/>
  <c r="A36" i="28"/>
  <c r="A35" i="28"/>
  <c r="A34" i="28"/>
  <c r="A33" i="28"/>
  <c r="A32" i="28"/>
  <c r="A31" i="28"/>
  <c r="A30" i="28"/>
  <c r="A29" i="28"/>
  <c r="A28" i="28"/>
  <c r="A27" i="28"/>
  <c r="A26" i="28"/>
  <c r="A25" i="28"/>
  <c r="A24" i="28"/>
  <c r="A23" i="28"/>
  <c r="A22" i="28"/>
  <c r="A21" i="28"/>
  <c r="A20" i="28"/>
  <c r="A19" i="28"/>
  <c r="A13" i="28"/>
  <c r="A9" i="28"/>
  <c r="A8" i="28"/>
  <c r="A2" i="28"/>
  <c r="A1" i="28"/>
  <c r="T81" i="15" a="1"/>
  <c r="T81" i="15" s="1"/>
  <c r="R81" i="15" a="1"/>
  <c r="R81" i="15" s="1"/>
  <c r="P81" i="15" a="1"/>
  <c r="P81" i="15" s="1"/>
  <c r="N81" i="15" a="1"/>
  <c r="N81" i="15" s="1"/>
  <c r="A75" i="15"/>
  <c r="A74" i="15"/>
  <c r="A71" i="15"/>
  <c r="A70" i="15"/>
  <c r="A69" i="15"/>
  <c r="A68" i="15"/>
  <c r="A67" i="15"/>
  <c r="A66" i="15"/>
  <c r="A65" i="15"/>
  <c r="A64" i="15"/>
  <c r="A63" i="15"/>
  <c r="A62" i="15"/>
  <c r="A61" i="15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3" i="15"/>
  <c r="A9" i="15"/>
  <c r="A8" i="15"/>
  <c r="A2" i="15"/>
  <c r="A1" i="15"/>
  <c r="D75" i="29"/>
  <c r="A75" i="29"/>
  <c r="D74" i="29"/>
  <c r="A74" i="29"/>
  <c r="D72" i="29"/>
  <c r="A72" i="29"/>
  <c r="D71" i="29"/>
  <c r="A71" i="29"/>
  <c r="D70" i="29"/>
  <c r="A70" i="29"/>
  <c r="D69" i="29"/>
  <c r="A69" i="29"/>
  <c r="D68" i="29"/>
  <c r="A68" i="29"/>
  <c r="D67" i="29"/>
  <c r="A67" i="29"/>
  <c r="D66" i="29"/>
  <c r="A66" i="29"/>
  <c r="D65" i="29"/>
  <c r="A65" i="29"/>
  <c r="D64" i="29"/>
  <c r="A64" i="29"/>
  <c r="D63" i="29"/>
  <c r="A63" i="29"/>
  <c r="D62" i="29"/>
  <c r="A62" i="29"/>
  <c r="D61" i="29"/>
  <c r="A61" i="29"/>
  <c r="D60" i="29"/>
  <c r="A60" i="29"/>
  <c r="D59" i="29"/>
  <c r="A59" i="29"/>
  <c r="D58" i="29"/>
  <c r="A58" i="29"/>
  <c r="D57" i="29"/>
  <c r="A57" i="29"/>
  <c r="D56" i="29"/>
  <c r="A56" i="29"/>
  <c r="D55" i="29"/>
  <c r="A55" i="29"/>
  <c r="D54" i="29"/>
  <c r="A54" i="29"/>
  <c r="D53" i="29"/>
  <c r="A53" i="29"/>
  <c r="D52" i="29"/>
  <c r="A52" i="29"/>
  <c r="D51" i="29"/>
  <c r="AS51" i="1" s="1"/>
  <c r="A51" i="29"/>
  <c r="D50" i="29"/>
  <c r="A50" i="29"/>
  <c r="D49" i="29"/>
  <c r="A49" i="29"/>
  <c r="D48" i="29"/>
  <c r="A48" i="29"/>
  <c r="D46" i="29"/>
  <c r="A46" i="29"/>
  <c r="D45" i="29"/>
  <c r="A45" i="29"/>
  <c r="D44" i="29"/>
  <c r="A44" i="29"/>
  <c r="D43" i="29"/>
  <c r="A43" i="29"/>
  <c r="D42" i="29"/>
  <c r="A42" i="29"/>
  <c r="D41" i="29"/>
  <c r="A41" i="29"/>
  <c r="D40" i="29"/>
  <c r="A40" i="29"/>
  <c r="D39" i="29"/>
  <c r="A39" i="29"/>
  <c r="D38" i="29"/>
  <c r="A38" i="29"/>
  <c r="D37" i="29"/>
  <c r="A37" i="29"/>
  <c r="D36" i="29"/>
  <c r="A36" i="29"/>
  <c r="D35" i="29"/>
  <c r="A35" i="29"/>
  <c r="D34" i="29"/>
  <c r="A34" i="29"/>
  <c r="D33" i="29"/>
  <c r="A33" i="29"/>
  <c r="D32" i="29"/>
  <c r="A32" i="29"/>
  <c r="D31" i="29"/>
  <c r="A31" i="29"/>
  <c r="D30" i="29"/>
  <c r="A30" i="29"/>
  <c r="D29" i="29"/>
  <c r="A29" i="29"/>
  <c r="D28" i="29"/>
  <c r="A28" i="29"/>
  <c r="D27" i="29"/>
  <c r="A27" i="29"/>
  <c r="D26" i="29"/>
  <c r="A26" i="29"/>
  <c r="D25" i="29"/>
  <c r="A25" i="29"/>
  <c r="D24" i="29"/>
  <c r="A24" i="29"/>
  <c r="D23" i="29"/>
  <c r="A23" i="29"/>
  <c r="D22" i="29"/>
  <c r="A22" i="29"/>
  <c r="D21" i="29"/>
  <c r="A21" i="29"/>
  <c r="D20" i="29"/>
  <c r="AS20" i="1" s="1"/>
  <c r="A20" i="29"/>
  <c r="A19" i="29"/>
  <c r="A13" i="29"/>
  <c r="L11" i="29"/>
  <c r="P11" i="29" s="1"/>
  <c r="K11" i="29"/>
  <c r="O11" i="29" s="1"/>
  <c r="J11" i="29"/>
  <c r="N11" i="29" s="1"/>
  <c r="I11" i="29"/>
  <c r="A9" i="29"/>
  <c r="A8" i="29"/>
  <c r="A2" i="29"/>
  <c r="A1" i="29"/>
  <c r="D75" i="30"/>
  <c r="A75" i="30"/>
  <c r="D74" i="30"/>
  <c r="A74" i="30"/>
  <c r="D72" i="30"/>
  <c r="A72" i="30"/>
  <c r="D71" i="30"/>
  <c r="A71" i="30"/>
  <c r="D70" i="30"/>
  <c r="A70" i="30"/>
  <c r="D69" i="30"/>
  <c r="A69" i="30"/>
  <c r="D68" i="30"/>
  <c r="A68" i="30"/>
  <c r="D67" i="30"/>
  <c r="A67" i="30"/>
  <c r="D66" i="30"/>
  <c r="A66" i="30"/>
  <c r="D65" i="30"/>
  <c r="A65" i="30"/>
  <c r="D64" i="30"/>
  <c r="A64" i="30"/>
  <c r="D63" i="30"/>
  <c r="A63" i="30"/>
  <c r="D62" i="30"/>
  <c r="A62" i="30"/>
  <c r="D61" i="30"/>
  <c r="A61" i="30"/>
  <c r="D60" i="30"/>
  <c r="A60" i="30"/>
  <c r="D59" i="30"/>
  <c r="A59" i="30"/>
  <c r="D58" i="30"/>
  <c r="A58" i="30"/>
  <c r="D57" i="30"/>
  <c r="A57" i="30"/>
  <c r="D56" i="30"/>
  <c r="A56" i="30"/>
  <c r="D55" i="30"/>
  <c r="A55" i="30"/>
  <c r="D54" i="30"/>
  <c r="A54" i="30"/>
  <c r="D53" i="30"/>
  <c r="A53" i="30"/>
  <c r="D52" i="30"/>
  <c r="A52" i="30"/>
  <c r="D51" i="30"/>
  <c r="BF51" i="1" s="1"/>
  <c r="A51" i="30"/>
  <c r="D50" i="30"/>
  <c r="A50" i="30"/>
  <c r="D49" i="30"/>
  <c r="A49" i="30"/>
  <c r="D48" i="30"/>
  <c r="A48" i="30"/>
  <c r="D46" i="30"/>
  <c r="A46" i="30"/>
  <c r="D45" i="30"/>
  <c r="A45" i="30"/>
  <c r="D44" i="30"/>
  <c r="A44" i="30"/>
  <c r="D43" i="30"/>
  <c r="A43" i="30"/>
  <c r="D42" i="30"/>
  <c r="A42" i="30"/>
  <c r="D41" i="30"/>
  <c r="A41" i="30"/>
  <c r="D40" i="30"/>
  <c r="A40" i="30"/>
  <c r="D39" i="30"/>
  <c r="A39" i="30"/>
  <c r="D38" i="30"/>
  <c r="A38" i="30"/>
  <c r="D37" i="30"/>
  <c r="A37" i="30"/>
  <c r="Q36" i="30" a="1"/>
  <c r="Q36" i="30" s="1"/>
  <c r="A36" i="30"/>
  <c r="Q35" i="30" a="1"/>
  <c r="Q35" i="30" s="1"/>
  <c r="A35" i="30"/>
  <c r="Q34" i="30" a="1"/>
  <c r="Q34" i="30" s="1"/>
  <c r="A34" i="30"/>
  <c r="Q33" i="30" a="1"/>
  <c r="Q33" i="30" s="1"/>
  <c r="A33" i="30"/>
  <c r="Q32" i="30" a="1"/>
  <c r="Q32" i="30" s="1"/>
  <c r="A32" i="30"/>
  <c r="Q31" i="30" a="1"/>
  <c r="Q31" i="30" s="1"/>
  <c r="A31" i="30"/>
  <c r="Q30" i="30" a="1"/>
  <c r="Q30" i="30" s="1"/>
  <c r="A30" i="30"/>
  <c r="Q29" i="30" a="1"/>
  <c r="Q29" i="30" s="1"/>
  <c r="A29" i="30"/>
  <c r="Q28" i="30" a="1"/>
  <c r="Q28" i="30" s="1"/>
  <c r="A28" i="30"/>
  <c r="Q27" i="30" a="1"/>
  <c r="Q27" i="30" s="1"/>
  <c r="A27" i="30"/>
  <c r="Q26" i="30" a="1"/>
  <c r="Q26" i="30" s="1"/>
  <c r="A26" i="30"/>
  <c r="Q25" i="30" a="1"/>
  <c r="Q25" i="30" s="1"/>
  <c r="A25" i="30"/>
  <c r="Q24" i="30" a="1"/>
  <c r="Q24" i="30" s="1"/>
  <c r="A24" i="30"/>
  <c r="Q23" i="30" a="1"/>
  <c r="Q23" i="30" s="1"/>
  <c r="A23" i="30"/>
  <c r="Q22" i="30" a="1"/>
  <c r="Q22" i="30" s="1"/>
  <c r="A22" i="30"/>
  <c r="Q21" i="30" a="1"/>
  <c r="Q21" i="30" s="1"/>
  <c r="A21" i="30"/>
  <c r="Q20" i="30" a="1"/>
  <c r="Q20" i="30" s="1"/>
  <c r="A20" i="30"/>
  <c r="A19" i="30"/>
  <c r="A13" i="30"/>
  <c r="L11" i="30"/>
  <c r="P11" i="30" s="1"/>
  <c r="K11" i="30"/>
  <c r="O11" i="30" s="1"/>
  <c r="J11" i="30"/>
  <c r="N11" i="30" s="1"/>
  <c r="I11" i="30"/>
  <c r="A9" i="30"/>
  <c r="A8" i="30"/>
  <c r="A2" i="30"/>
  <c r="A1" i="30"/>
  <c r="S75" i="13" a="1"/>
  <c r="S75" i="13" s="1"/>
  <c r="R75" i="13" a="1"/>
  <c r="R75" i="13" s="1"/>
  <c r="Q75" i="13" a="1"/>
  <c r="Q75" i="13" s="1"/>
  <c r="E75" i="13" a="1"/>
  <c r="E75" i="13" s="1"/>
  <c r="D75" i="13" a="1"/>
  <c r="D75" i="13" s="1"/>
  <c r="S74" i="13" a="1"/>
  <c r="S74" i="13" s="1"/>
  <c r="R74" i="13" a="1"/>
  <c r="R74" i="13" s="1"/>
  <c r="Q74" i="13" a="1"/>
  <c r="Q74" i="13" s="1"/>
  <c r="E74" i="13" a="1"/>
  <c r="E74" i="13" s="1"/>
  <c r="D74" i="13" a="1"/>
  <c r="D74" i="13" s="1"/>
  <c r="S72" i="13" a="1"/>
  <c r="S72" i="13" s="1"/>
  <c r="R72" i="13" a="1"/>
  <c r="R72" i="13" s="1"/>
  <c r="Q72" i="13" a="1"/>
  <c r="Q72" i="13" s="1"/>
  <c r="E72" i="13" a="1"/>
  <c r="E72" i="13" s="1"/>
  <c r="D72" i="13" a="1"/>
  <c r="D72" i="13" s="1"/>
  <c r="S71" i="13" a="1"/>
  <c r="S71" i="13" s="1"/>
  <c r="R71" i="13" a="1"/>
  <c r="R71" i="13" s="1"/>
  <c r="Q71" i="13" a="1"/>
  <c r="Q71" i="13" s="1"/>
  <c r="E71" i="13" a="1"/>
  <c r="E71" i="13" s="1"/>
  <c r="D71" i="13" a="1"/>
  <c r="D71" i="13" s="1"/>
  <c r="S70" i="13" a="1"/>
  <c r="S70" i="13" s="1"/>
  <c r="R70" i="13" a="1"/>
  <c r="R70" i="13" s="1"/>
  <c r="Q70" i="13" a="1"/>
  <c r="Q70" i="13" s="1"/>
  <c r="E70" i="13" a="1"/>
  <c r="E70" i="13" s="1"/>
  <c r="D70" i="13" a="1"/>
  <c r="D70" i="13" s="1"/>
  <c r="S69" i="13" a="1"/>
  <c r="S69" i="13" s="1"/>
  <c r="R69" i="13" a="1"/>
  <c r="R69" i="13" s="1"/>
  <c r="Q69" i="13" a="1"/>
  <c r="Q69" i="13" s="1"/>
  <c r="E69" i="13" a="1"/>
  <c r="E69" i="13" s="1"/>
  <c r="D69" i="13" a="1"/>
  <c r="D69" i="13" s="1"/>
  <c r="S68" i="13" a="1"/>
  <c r="S68" i="13" s="1"/>
  <c r="AM73" i="1" s="1"/>
  <c r="R68" i="13" a="1"/>
  <c r="R68" i="13" s="1"/>
  <c r="Q68" i="13" a="1"/>
  <c r="Q68" i="13" s="1"/>
  <c r="E68" i="13" a="1"/>
  <c r="E68" i="13" s="1"/>
  <c r="D68" i="13" a="1"/>
  <c r="D68" i="13" s="1"/>
  <c r="S67" i="13" a="1"/>
  <c r="S67" i="13" s="1"/>
  <c r="R67" i="13" a="1"/>
  <c r="R67" i="13" s="1"/>
  <c r="Q67" i="13" a="1"/>
  <c r="Q67" i="13" s="1"/>
  <c r="E67" i="13" a="1"/>
  <c r="E67" i="13" s="1"/>
  <c r="D67" i="13" a="1"/>
  <c r="D67" i="13" s="1"/>
  <c r="R66" i="13" a="1"/>
  <c r="R66" i="13" s="1"/>
  <c r="Q66" i="13" a="1"/>
  <c r="Q66" i="13" s="1"/>
  <c r="E66" i="13" a="1"/>
  <c r="E66" i="13" s="1"/>
  <c r="D66" i="13" a="1"/>
  <c r="D66" i="13" s="1"/>
  <c r="S65" i="13" a="1"/>
  <c r="S65" i="13" s="1"/>
  <c r="R65" i="13" a="1"/>
  <c r="R65" i="13" s="1"/>
  <c r="Q65" i="13" a="1"/>
  <c r="Q65" i="13" s="1"/>
  <c r="E65" i="13" a="1"/>
  <c r="E65" i="13" s="1"/>
  <c r="D65" i="13" a="1"/>
  <c r="D65" i="13" s="1"/>
  <c r="S64" i="13" a="1"/>
  <c r="S64" i="13" s="1"/>
  <c r="R64" i="13" a="1"/>
  <c r="R64" i="13" s="1"/>
  <c r="Q64" i="13" a="1"/>
  <c r="Q64" i="13" s="1"/>
  <c r="E64" i="13" a="1"/>
  <c r="E64" i="13" s="1"/>
  <c r="D64" i="13" a="1"/>
  <c r="D64" i="13" s="1"/>
  <c r="S63" i="13" a="1"/>
  <c r="S63" i="13" s="1"/>
  <c r="R63" i="13" a="1"/>
  <c r="R63" i="13" s="1"/>
  <c r="Q63" i="13" a="1"/>
  <c r="Q63" i="13" s="1"/>
  <c r="E63" i="13" a="1"/>
  <c r="E63" i="13" s="1"/>
  <c r="D63" i="13" a="1"/>
  <c r="D63" i="13" s="1"/>
  <c r="S62" i="13" a="1"/>
  <c r="S62" i="13" s="1"/>
  <c r="R62" i="13" a="1"/>
  <c r="R62" i="13" s="1"/>
  <c r="Q62" i="13" a="1"/>
  <c r="Q62" i="13" s="1"/>
  <c r="E62" i="13" a="1"/>
  <c r="E62" i="13" s="1"/>
  <c r="D62" i="13" a="1"/>
  <c r="D62" i="13" s="1"/>
  <c r="S61" i="13" a="1"/>
  <c r="S61" i="13" s="1"/>
  <c r="R61" i="13" a="1"/>
  <c r="R61" i="13" s="1"/>
  <c r="Q61" i="13" a="1"/>
  <c r="Q61" i="13" s="1"/>
  <c r="E61" i="13" a="1"/>
  <c r="E61" i="13" s="1"/>
  <c r="D61" i="13" a="1"/>
  <c r="D61" i="13" s="1"/>
  <c r="R60" i="13" a="1"/>
  <c r="R60" i="13" s="1"/>
  <c r="AL60" i="1" s="1"/>
  <c r="Q60" i="13" a="1"/>
  <c r="Q60" i="13" s="1"/>
  <c r="E60" i="13" a="1"/>
  <c r="E60" i="13" s="1"/>
  <c r="D60" i="13" a="1"/>
  <c r="D60" i="13" s="1"/>
  <c r="S59" i="13" a="1"/>
  <c r="S59" i="13" s="1"/>
  <c r="R59" i="13" a="1"/>
  <c r="R59" i="13" s="1"/>
  <c r="Q59" i="13" a="1"/>
  <c r="Q59" i="13" s="1"/>
  <c r="E59" i="13" a="1"/>
  <c r="E59" i="13" s="1"/>
  <c r="D59" i="13" a="1"/>
  <c r="D59" i="13" s="1"/>
  <c r="S58" i="13" a="1"/>
  <c r="S58" i="13" s="1"/>
  <c r="R58" i="13" a="1"/>
  <c r="R58" i="13" s="1"/>
  <c r="Q58" i="13" a="1"/>
  <c r="Q58" i="13" s="1"/>
  <c r="E58" i="13" a="1"/>
  <c r="E58" i="13" s="1"/>
  <c r="D58" i="13" a="1"/>
  <c r="D58" i="13" s="1"/>
  <c r="S57" i="13" a="1"/>
  <c r="S57" i="13" s="1"/>
  <c r="R57" i="13" a="1"/>
  <c r="R57" i="13" s="1"/>
  <c r="Q57" i="13" a="1"/>
  <c r="Q57" i="13" s="1"/>
  <c r="AK57" i="1" s="1"/>
  <c r="E57" i="13" a="1"/>
  <c r="E57" i="13" s="1"/>
  <c r="D57" i="13" a="1"/>
  <c r="D57" i="13" s="1"/>
  <c r="S56" i="13" a="1"/>
  <c r="S56" i="13" s="1"/>
  <c r="R56" i="13" a="1"/>
  <c r="R56" i="13" s="1"/>
  <c r="Q56" i="13" a="1"/>
  <c r="Q56" i="13" s="1"/>
  <c r="E56" i="13" a="1"/>
  <c r="E56" i="13" s="1"/>
  <c r="D56" i="13" a="1"/>
  <c r="D56" i="13" s="1"/>
  <c r="S55" i="13" a="1"/>
  <c r="S55" i="13" s="1"/>
  <c r="R55" i="13" a="1"/>
  <c r="R55" i="13" s="1"/>
  <c r="Q55" i="13" a="1"/>
  <c r="Q55" i="13" s="1"/>
  <c r="AK55" i="1" s="1"/>
  <c r="E55" i="13" a="1"/>
  <c r="E55" i="13" s="1"/>
  <c r="D55" i="13" a="1"/>
  <c r="D55" i="13" s="1"/>
  <c r="S54" i="13" a="1"/>
  <c r="S54" i="13" s="1"/>
  <c r="AM54" i="1" s="1"/>
  <c r="R54" i="13" a="1"/>
  <c r="R54" i="13" s="1"/>
  <c r="Q54" i="13" a="1"/>
  <c r="Q54" i="13" s="1"/>
  <c r="E54" i="13" a="1"/>
  <c r="E54" i="13" s="1"/>
  <c r="D54" i="13" a="1"/>
  <c r="D54" i="13" s="1"/>
  <c r="S53" i="13" a="1"/>
  <c r="S53" i="13" s="1"/>
  <c r="R53" i="13" a="1"/>
  <c r="R53" i="13" s="1"/>
  <c r="Q53" i="13" a="1"/>
  <c r="Q53" i="13" s="1"/>
  <c r="AK53" i="1" s="1"/>
  <c r="E53" i="13" a="1"/>
  <c r="E53" i="13" s="1"/>
  <c r="D53" i="13" a="1"/>
  <c r="D53" i="13" s="1"/>
  <c r="S52" i="13" a="1"/>
  <c r="S52" i="13" s="1"/>
  <c r="R52" i="13" a="1"/>
  <c r="R52" i="13" s="1"/>
  <c r="Q52" i="13" a="1"/>
  <c r="Q52" i="13" s="1"/>
  <c r="E52" i="13" a="1"/>
  <c r="E52" i="13" s="1"/>
  <c r="D52" i="13" a="1"/>
  <c r="D52" i="13" s="1"/>
  <c r="S51" i="13" a="1"/>
  <c r="S51" i="13" s="1"/>
  <c r="AM51" i="1" s="1"/>
  <c r="R51" i="13" a="1"/>
  <c r="R51" i="13" s="1"/>
  <c r="AL51" i="1" s="1"/>
  <c r="Q51" i="13" a="1"/>
  <c r="Q51" i="13" s="1"/>
  <c r="AK51" i="1" s="1"/>
  <c r="E51" i="13" a="1"/>
  <c r="E51" i="13" s="1"/>
  <c r="D51" i="13" a="1"/>
  <c r="D51" i="13" s="1"/>
  <c r="S50" i="13" a="1"/>
  <c r="S50" i="13" s="1"/>
  <c r="AM50" i="1" s="1"/>
  <c r="R50" i="13" a="1"/>
  <c r="R50" i="13" s="1"/>
  <c r="Q50" i="13" a="1"/>
  <c r="Q50" i="13" s="1"/>
  <c r="E50" i="13" a="1"/>
  <c r="E50" i="13" s="1"/>
  <c r="D50" i="13" a="1"/>
  <c r="D50" i="13" s="1"/>
  <c r="S49" i="13" a="1"/>
  <c r="S49" i="13" s="1"/>
  <c r="R49" i="13" a="1"/>
  <c r="R49" i="13" s="1"/>
  <c r="Q49" i="13" a="1"/>
  <c r="Q49" i="13" s="1"/>
  <c r="AK49" i="1" s="1"/>
  <c r="E49" i="13" a="1"/>
  <c r="E49" i="13" s="1"/>
  <c r="D49" i="13" a="1"/>
  <c r="D49" i="13" s="1"/>
  <c r="S48" i="13" a="1"/>
  <c r="S48" i="13" s="1"/>
  <c r="R48" i="13" a="1"/>
  <c r="R48" i="13" s="1"/>
  <c r="Q48" i="13" a="1"/>
  <c r="Q48" i="13" s="1"/>
  <c r="E48" i="13" a="1"/>
  <c r="E48" i="13" s="1"/>
  <c r="D48" i="13" a="1"/>
  <c r="D48" i="13" s="1"/>
  <c r="S46" i="13" a="1"/>
  <c r="S46" i="13" s="1"/>
  <c r="R46" i="13" a="1"/>
  <c r="R46" i="13" s="1"/>
  <c r="Q46" i="13" a="1"/>
  <c r="Q46" i="13" s="1"/>
  <c r="E46" i="13" a="1"/>
  <c r="E46" i="13" s="1"/>
  <c r="D46" i="13" a="1"/>
  <c r="D46" i="13" s="1"/>
  <c r="S45" i="13" a="1"/>
  <c r="S45" i="13" s="1"/>
  <c r="AM45" i="1" s="1"/>
  <c r="R45" i="13" a="1"/>
  <c r="R45" i="13" s="1"/>
  <c r="Q45" i="13" a="1"/>
  <c r="Q45" i="13" s="1"/>
  <c r="E45" i="13" a="1"/>
  <c r="E45" i="13" s="1"/>
  <c r="D45" i="13" a="1"/>
  <c r="D45" i="13" s="1"/>
  <c r="S44" i="13" a="1"/>
  <c r="S44" i="13" s="1"/>
  <c r="R44" i="13" a="1"/>
  <c r="R44" i="13" s="1"/>
  <c r="AL44" i="1" s="1"/>
  <c r="Q44" i="13" a="1"/>
  <c r="Q44" i="13" s="1"/>
  <c r="AK44" i="1" s="1"/>
  <c r="E44" i="13" a="1"/>
  <c r="E44" i="13" s="1"/>
  <c r="D44" i="13" a="1"/>
  <c r="D44" i="13" s="1"/>
  <c r="S43" i="13" a="1"/>
  <c r="S43" i="13" s="1"/>
  <c r="R43" i="13" a="1"/>
  <c r="R43" i="13" s="1"/>
  <c r="Q43" i="13" a="1"/>
  <c r="Q43" i="13" s="1"/>
  <c r="E43" i="13" a="1"/>
  <c r="E43" i="13" s="1"/>
  <c r="D43" i="13" a="1"/>
  <c r="D43" i="13" s="1"/>
  <c r="S42" i="13" a="1"/>
  <c r="S42" i="13" s="1"/>
  <c r="R42" i="13" a="1"/>
  <c r="R42" i="13" s="1"/>
  <c r="Q42" i="13" a="1"/>
  <c r="Q42" i="13" s="1"/>
  <c r="AK42" i="1" s="1"/>
  <c r="E42" i="13" a="1"/>
  <c r="E42" i="13" s="1"/>
  <c r="D42" i="13" a="1"/>
  <c r="D42" i="13" s="1"/>
  <c r="S41" i="13" a="1"/>
  <c r="S41" i="13" s="1"/>
  <c r="AM41" i="1" s="1"/>
  <c r="R41" i="13" a="1"/>
  <c r="R41" i="13" s="1"/>
  <c r="Q41" i="13" a="1"/>
  <c r="Q41" i="13" s="1"/>
  <c r="E41" i="13" a="1"/>
  <c r="E41" i="13" s="1"/>
  <c r="D41" i="13" a="1"/>
  <c r="D41" i="13" s="1"/>
  <c r="S40" i="13" a="1"/>
  <c r="S40" i="13" s="1"/>
  <c r="AM40" i="1" s="1"/>
  <c r="R40" i="13" a="1"/>
  <c r="R40" i="13" s="1"/>
  <c r="Q40" i="13" a="1"/>
  <c r="Q40" i="13" s="1"/>
  <c r="E40" i="13" a="1"/>
  <c r="E40" i="13" s="1"/>
  <c r="D40" i="13" a="1"/>
  <c r="D40" i="13" s="1"/>
  <c r="S39" i="13" a="1"/>
  <c r="S39" i="13" s="1"/>
  <c r="R39" i="13" a="1"/>
  <c r="R39" i="13" s="1"/>
  <c r="Q39" i="13" a="1"/>
  <c r="Q39" i="13" s="1"/>
  <c r="E39" i="13" a="1"/>
  <c r="E39" i="13" s="1"/>
  <c r="D39" i="13" a="1"/>
  <c r="D39" i="13" s="1"/>
  <c r="S38" i="13" a="1"/>
  <c r="S38" i="13" s="1"/>
  <c r="R38" i="13" a="1"/>
  <c r="R38" i="13" s="1"/>
  <c r="AL38" i="1" s="1"/>
  <c r="Q38" i="13" a="1"/>
  <c r="Q38" i="13" s="1"/>
  <c r="AK38" i="1" s="1"/>
  <c r="E38" i="13" a="1"/>
  <c r="E38" i="13" s="1"/>
  <c r="D38" i="13" a="1"/>
  <c r="D38" i="13" s="1"/>
  <c r="S37" i="13" a="1"/>
  <c r="S37" i="13" s="1"/>
  <c r="R37" i="13" a="1"/>
  <c r="R37" i="13" s="1"/>
  <c r="Q37" i="13" a="1"/>
  <c r="Q37" i="13" s="1"/>
  <c r="E37" i="13" a="1"/>
  <c r="E37" i="13" s="1"/>
  <c r="D37" i="13" a="1"/>
  <c r="D37" i="13" s="1"/>
  <c r="S36" i="13" a="1"/>
  <c r="S36" i="13" s="1"/>
  <c r="AM36" i="1" s="1"/>
  <c r="R36" i="13" a="1"/>
  <c r="R36" i="13" s="1"/>
  <c r="AL36" i="1" s="1"/>
  <c r="Q36" i="13" a="1"/>
  <c r="Q36" i="13" s="1"/>
  <c r="AK36" i="1" s="1"/>
  <c r="E36" i="13" a="1"/>
  <c r="E36" i="13" s="1"/>
  <c r="D36" i="13" a="1"/>
  <c r="D36" i="13" s="1"/>
  <c r="S35" i="13" a="1"/>
  <c r="S35" i="13" s="1"/>
  <c r="AM35" i="1" s="1"/>
  <c r="R35" i="13" a="1"/>
  <c r="R35" i="13" s="1"/>
  <c r="AL35" i="1" s="1"/>
  <c r="Q35" i="13" a="1"/>
  <c r="Q35" i="13" s="1"/>
  <c r="AK35" i="1" s="1"/>
  <c r="E35" i="13" a="1"/>
  <c r="E35" i="13" s="1"/>
  <c r="D35" i="13" a="1"/>
  <c r="D35" i="13" s="1"/>
  <c r="S34" i="13" a="1"/>
  <c r="S34" i="13" s="1"/>
  <c r="R34" i="13" a="1"/>
  <c r="R34" i="13" s="1"/>
  <c r="Q34" i="13" a="1"/>
  <c r="Q34" i="13" s="1"/>
  <c r="E34" i="13" a="1"/>
  <c r="E34" i="13" s="1"/>
  <c r="D34" i="13" a="1"/>
  <c r="D34" i="13" s="1"/>
  <c r="S33" i="13" a="1"/>
  <c r="S33" i="13" s="1"/>
  <c r="AM33" i="1" s="1"/>
  <c r="R33" i="13" a="1"/>
  <c r="R33" i="13" s="1"/>
  <c r="AL33" i="1" s="1"/>
  <c r="Q33" i="13" a="1"/>
  <c r="Q33" i="13" s="1"/>
  <c r="AK33" i="1" s="1"/>
  <c r="E33" i="13" a="1"/>
  <c r="E33" i="13" s="1"/>
  <c r="D33" i="13" a="1"/>
  <c r="D33" i="13" s="1"/>
  <c r="S32" i="13" a="1"/>
  <c r="S32" i="13" s="1"/>
  <c r="AM32" i="1" s="1"/>
  <c r="R32" i="13" a="1"/>
  <c r="R32" i="13" s="1"/>
  <c r="AL32" i="1" s="1"/>
  <c r="Q32" i="13" a="1"/>
  <c r="Q32" i="13" s="1"/>
  <c r="AK32" i="1" s="1"/>
  <c r="E32" i="13" a="1"/>
  <c r="E32" i="13" s="1"/>
  <c r="D32" i="13" a="1"/>
  <c r="D32" i="13" s="1"/>
  <c r="S31" i="13" a="1"/>
  <c r="S31" i="13" s="1"/>
  <c r="AM31" i="1" s="1"/>
  <c r="R31" i="13" a="1"/>
  <c r="R31" i="13" s="1"/>
  <c r="AL31" i="1" s="1"/>
  <c r="Q31" i="13" a="1"/>
  <c r="Q31" i="13" s="1"/>
  <c r="AK31" i="1" s="1"/>
  <c r="E31" i="13" a="1"/>
  <c r="E31" i="13" s="1"/>
  <c r="C31" i="13" s="1"/>
  <c r="D31" i="13" a="1"/>
  <c r="D31" i="13" s="1"/>
  <c r="S30" i="13" a="1"/>
  <c r="S30" i="13" s="1"/>
  <c r="AM30" i="1" s="1"/>
  <c r="R30" i="13" a="1"/>
  <c r="R30" i="13" s="1"/>
  <c r="AL30" i="1" s="1"/>
  <c r="Q30" i="13" a="1"/>
  <c r="Q30" i="13" s="1"/>
  <c r="AK30" i="1" s="1"/>
  <c r="E30" i="13" a="1"/>
  <c r="E30" i="13" s="1"/>
  <c r="D30" i="13" a="1"/>
  <c r="D30" i="13" s="1"/>
  <c r="S29" i="13" a="1"/>
  <c r="S29" i="13" s="1"/>
  <c r="AM29" i="1" s="1"/>
  <c r="R29" i="13" a="1"/>
  <c r="R29" i="13" s="1"/>
  <c r="AL29" i="1" s="1"/>
  <c r="Q29" i="13" a="1"/>
  <c r="Q29" i="13" s="1"/>
  <c r="AK29" i="1" s="1"/>
  <c r="E29" i="13" a="1"/>
  <c r="E29" i="13" s="1"/>
  <c r="D29" i="13" a="1"/>
  <c r="D29" i="13" s="1"/>
  <c r="S28" i="13" a="1"/>
  <c r="S28" i="13" s="1"/>
  <c r="AM28" i="1" s="1"/>
  <c r="R28" i="13" a="1"/>
  <c r="R28" i="13" s="1"/>
  <c r="AL28" i="1" s="1"/>
  <c r="Q28" i="13" a="1"/>
  <c r="Q28" i="13" s="1"/>
  <c r="AK28" i="1" s="1"/>
  <c r="E28" i="13" a="1"/>
  <c r="E28" i="13" s="1"/>
  <c r="D28" i="13" a="1"/>
  <c r="D28" i="13" s="1"/>
  <c r="S27" i="13" a="1"/>
  <c r="S27" i="13" s="1"/>
  <c r="AM27" i="1" s="1"/>
  <c r="R27" i="13" a="1"/>
  <c r="R27" i="13" s="1"/>
  <c r="AL27" i="1" s="1"/>
  <c r="Q27" i="13" a="1"/>
  <c r="Q27" i="13" s="1"/>
  <c r="AK27" i="1" s="1"/>
  <c r="E27" i="13" a="1"/>
  <c r="E27" i="13" s="1"/>
  <c r="D27" i="13" a="1"/>
  <c r="D27" i="13" s="1"/>
  <c r="AM26" i="1"/>
  <c r="R26" i="13" a="1"/>
  <c r="R26" i="13" s="1"/>
  <c r="AL26" i="1" s="1"/>
  <c r="Q26" i="13" a="1"/>
  <c r="Q26" i="13" s="1"/>
  <c r="AK26" i="1" s="1"/>
  <c r="E26" i="13" a="1"/>
  <c r="E26" i="13" s="1"/>
  <c r="D26" i="13" a="1"/>
  <c r="D26" i="13" s="1"/>
  <c r="S25" i="13" a="1"/>
  <c r="S25" i="13" s="1"/>
  <c r="AM25" i="1" s="1"/>
  <c r="R25" i="13" a="1"/>
  <c r="R25" i="13" s="1"/>
  <c r="AL25" i="1" s="1"/>
  <c r="Q25" i="13" a="1"/>
  <c r="Q25" i="13" s="1"/>
  <c r="AK25" i="1" s="1"/>
  <c r="E25" i="13" a="1"/>
  <c r="E25" i="13" s="1"/>
  <c r="D25" i="13" a="1"/>
  <c r="D25" i="13" s="1"/>
  <c r="S24" i="13" a="1"/>
  <c r="S24" i="13" s="1"/>
  <c r="AM24" i="1" s="1"/>
  <c r="R24" i="13" a="1"/>
  <c r="R24" i="13" s="1"/>
  <c r="AL24" i="1" s="1"/>
  <c r="Q24" i="13" a="1"/>
  <c r="Q24" i="13" s="1"/>
  <c r="AK24" i="1" s="1"/>
  <c r="E24" i="13" a="1"/>
  <c r="E24" i="13" s="1"/>
  <c r="D24" i="13" a="1"/>
  <c r="D24" i="13" s="1"/>
  <c r="S23" i="13" a="1"/>
  <c r="S23" i="13" s="1"/>
  <c r="AM23" i="1" s="1"/>
  <c r="R23" i="13" a="1"/>
  <c r="R23" i="13" s="1"/>
  <c r="AL23" i="1" s="1"/>
  <c r="Q23" i="13" a="1"/>
  <c r="Q23" i="13" s="1"/>
  <c r="AK23" i="1" s="1"/>
  <c r="E23" i="13" a="1"/>
  <c r="E23" i="13" s="1"/>
  <c r="D23" i="13" a="1"/>
  <c r="D23" i="13" s="1"/>
  <c r="S22" i="13" a="1"/>
  <c r="S22" i="13" s="1"/>
  <c r="AM22" i="1" s="1"/>
  <c r="R22" i="13"/>
  <c r="AL22" i="1" s="1"/>
  <c r="Q22" i="13" a="1"/>
  <c r="Q22" i="13" s="1"/>
  <c r="AK22" i="1" s="1"/>
  <c r="E22" i="13" a="1"/>
  <c r="E22" i="13" s="1"/>
  <c r="D22" i="13" a="1"/>
  <c r="D22" i="13" s="1"/>
  <c r="S21" i="13" a="1"/>
  <c r="S21" i="13" s="1"/>
  <c r="AM21" i="1" s="1"/>
  <c r="R21" i="13" a="1"/>
  <c r="R21" i="13" s="1"/>
  <c r="Q21" i="13" a="1"/>
  <c r="Q21" i="13" s="1"/>
  <c r="E21" i="13" a="1"/>
  <c r="E21" i="13" s="1"/>
  <c r="D21" i="13" a="1"/>
  <c r="D21" i="13" s="1"/>
  <c r="A21" i="13"/>
  <c r="S20" i="13" a="1"/>
  <c r="S20" i="13" s="1"/>
  <c r="E20" i="13" a="1"/>
  <c r="E20" i="13" s="1"/>
  <c r="D20" i="13" a="1"/>
  <c r="D20" i="13" s="1"/>
  <c r="A20" i="13"/>
  <c r="E19" i="13" a="1"/>
  <c r="A19" i="13"/>
  <c r="A13" i="13"/>
  <c r="A9" i="13"/>
  <c r="A8" i="13"/>
  <c r="A2" i="13"/>
  <c r="A1" i="13"/>
  <c r="AT75" i="14" a="1"/>
  <c r="AT75" i="14" s="1"/>
  <c r="AO75" i="1" s="1"/>
  <c r="AS75" i="14" a="1"/>
  <c r="AS75" i="14" s="1"/>
  <c r="N75" i="1" s="1"/>
  <c r="AR75" i="14" a="1"/>
  <c r="AR75" i="14" s="1"/>
  <c r="AQ75" i="14" a="1"/>
  <c r="AQ75" i="14" s="1"/>
  <c r="AP75" i="14" a="1"/>
  <c r="AP75" i="14" s="1"/>
  <c r="AO75" i="14" a="1"/>
  <c r="AO75" i="14" s="1"/>
  <c r="AN75" i="14" a="1"/>
  <c r="AN75" i="14" s="1"/>
  <c r="AM75" i="14" a="1"/>
  <c r="AM75" i="14" s="1"/>
  <c r="AL75" i="14" a="1"/>
  <c r="AL75" i="14" s="1"/>
  <c r="AK75" i="14" a="1"/>
  <c r="AK75" i="14" s="1"/>
  <c r="AJ75" i="14" a="1"/>
  <c r="AJ75" i="14" s="1"/>
  <c r="AI75" i="14" a="1"/>
  <c r="AI75" i="14" s="1"/>
  <c r="AD75" i="14" a="1"/>
  <c r="AD75" i="14" s="1"/>
  <c r="AC75" i="14" a="1"/>
  <c r="AC75" i="14" s="1"/>
  <c r="AB75" i="14" a="1"/>
  <c r="AB75" i="14" s="1"/>
  <c r="AA75" i="14" a="1"/>
  <c r="AA75" i="14" s="1"/>
  <c r="F75" i="14" a="1"/>
  <c r="F75" i="14" s="1"/>
  <c r="B75" i="14"/>
  <c r="A75" i="14"/>
  <c r="AT74" i="14" a="1"/>
  <c r="AT74" i="14" s="1"/>
  <c r="AS74" i="14" a="1"/>
  <c r="AS74" i="14" s="1"/>
  <c r="AR74" i="14" a="1"/>
  <c r="AR74" i="14" s="1"/>
  <c r="AQ74" i="14" a="1"/>
  <c r="AQ74" i="14" s="1"/>
  <c r="AP74" i="14" a="1"/>
  <c r="AP74" i="14" s="1"/>
  <c r="AO74" i="14" a="1"/>
  <c r="AO74" i="14" s="1"/>
  <c r="AN74" i="14" a="1"/>
  <c r="AN74" i="14" s="1"/>
  <c r="AM74" i="14" a="1"/>
  <c r="AM74" i="14" s="1"/>
  <c r="AL74" i="14" a="1"/>
  <c r="AL74" i="14" s="1"/>
  <c r="AK74" i="14" a="1"/>
  <c r="AK74" i="14" s="1"/>
  <c r="AJ74" i="14" a="1"/>
  <c r="AJ74" i="14" s="1"/>
  <c r="AI74" i="14" a="1"/>
  <c r="AI74" i="14" s="1"/>
  <c r="AD74" i="14" a="1"/>
  <c r="AD74" i="14" s="1"/>
  <c r="AC74" i="14" a="1"/>
  <c r="AC74" i="14" s="1"/>
  <c r="AB74" i="14" a="1"/>
  <c r="AB74" i="14" s="1"/>
  <c r="AA74" i="14" a="1"/>
  <c r="AA74" i="14" s="1"/>
  <c r="F74" i="14" a="1"/>
  <c r="F74" i="14" s="1"/>
  <c r="B74" i="14"/>
  <c r="A74" i="14"/>
  <c r="AT72" i="14" a="1"/>
  <c r="AT72" i="14" s="1"/>
  <c r="AO72" i="1" s="1"/>
  <c r="AS72" i="14" a="1"/>
  <c r="AS72" i="14" s="1"/>
  <c r="N72" i="1" s="1"/>
  <c r="AR72" i="14" a="1"/>
  <c r="AR72" i="14" s="1"/>
  <c r="AQ72" i="14" a="1"/>
  <c r="AQ72" i="14" s="1"/>
  <c r="AP72" i="14" a="1"/>
  <c r="AP72" i="14" s="1"/>
  <c r="AO72" i="14" a="1"/>
  <c r="AO72" i="14" s="1"/>
  <c r="AN72" i="14" a="1"/>
  <c r="AN72" i="14" s="1"/>
  <c r="AM72" i="14" a="1"/>
  <c r="AM72" i="14" s="1"/>
  <c r="AL72" i="14" a="1"/>
  <c r="AL72" i="14" s="1"/>
  <c r="AK72" i="14" a="1"/>
  <c r="AK72" i="14" s="1"/>
  <c r="AJ72" i="14" a="1"/>
  <c r="AJ72" i="14" s="1"/>
  <c r="AI72" i="14" a="1"/>
  <c r="AI72" i="14" s="1"/>
  <c r="AD72" i="14" a="1"/>
  <c r="AD72" i="14" s="1"/>
  <c r="AC72" i="14" a="1"/>
  <c r="AC72" i="14" s="1"/>
  <c r="AB72" i="14" a="1"/>
  <c r="AB72" i="14" s="1"/>
  <c r="AA72" i="14" a="1"/>
  <c r="AA72" i="14" s="1"/>
  <c r="F72" i="14" a="1"/>
  <c r="F72" i="14" s="1"/>
  <c r="B72" i="14"/>
  <c r="A72" i="14"/>
  <c r="AT71" i="14" a="1"/>
  <c r="AT71" i="14" s="1"/>
  <c r="AO71" i="1" s="1"/>
  <c r="AS71" i="14" a="1"/>
  <c r="AS71" i="14" s="1"/>
  <c r="N71" i="1" s="1"/>
  <c r="AR71" i="14" a="1"/>
  <c r="AR71" i="14" s="1"/>
  <c r="AQ71" i="14" a="1"/>
  <c r="AQ71" i="14" s="1"/>
  <c r="AP71" i="14" a="1"/>
  <c r="AP71" i="14" s="1"/>
  <c r="AO71" i="14" a="1"/>
  <c r="AO71" i="14" s="1"/>
  <c r="AN71" i="14" a="1"/>
  <c r="AN71" i="14" s="1"/>
  <c r="AM71" i="14" a="1"/>
  <c r="AM71" i="14" s="1"/>
  <c r="AL71" i="14" a="1"/>
  <c r="AL71" i="14" s="1"/>
  <c r="AK71" i="14" a="1"/>
  <c r="AK71" i="14" s="1"/>
  <c r="AJ71" i="14" a="1"/>
  <c r="AJ71" i="14" s="1"/>
  <c r="AI71" i="14" a="1"/>
  <c r="AI71" i="14" s="1"/>
  <c r="AD71" i="14" a="1"/>
  <c r="AD71" i="14" s="1"/>
  <c r="AC71" i="14" a="1"/>
  <c r="AC71" i="14" s="1"/>
  <c r="AB71" i="14" a="1"/>
  <c r="AB71" i="14" s="1"/>
  <c r="AA71" i="14" a="1"/>
  <c r="AA71" i="14" s="1"/>
  <c r="F71" i="14" a="1"/>
  <c r="F71" i="14" s="1"/>
  <c r="B71" i="14"/>
  <c r="A71" i="14"/>
  <c r="AT70" i="14" a="1"/>
  <c r="AT70" i="14" s="1"/>
  <c r="AO70" i="1" s="1"/>
  <c r="AS70" i="14" a="1"/>
  <c r="AS70" i="14" s="1"/>
  <c r="N70" i="1" s="1"/>
  <c r="AR70" i="14" a="1"/>
  <c r="AR70" i="14" s="1"/>
  <c r="AQ70" i="14" a="1"/>
  <c r="AQ70" i="14" s="1"/>
  <c r="AP70" i="14" a="1"/>
  <c r="AP70" i="14" s="1"/>
  <c r="AO70" i="14" a="1"/>
  <c r="AO70" i="14" s="1"/>
  <c r="AN70" i="14" a="1"/>
  <c r="AN70" i="14" s="1"/>
  <c r="AM70" i="14" a="1"/>
  <c r="AM70" i="14" s="1"/>
  <c r="AL70" i="14" a="1"/>
  <c r="AL70" i="14" s="1"/>
  <c r="AK70" i="14" a="1"/>
  <c r="AK70" i="14" s="1"/>
  <c r="AJ70" i="14" a="1"/>
  <c r="AJ70" i="14" s="1"/>
  <c r="AI70" i="14" a="1"/>
  <c r="AI70" i="14" s="1"/>
  <c r="AD70" i="14" a="1"/>
  <c r="AD70" i="14" s="1"/>
  <c r="AC70" i="14" a="1"/>
  <c r="AC70" i="14" s="1"/>
  <c r="AB70" i="14" a="1"/>
  <c r="AB70" i="14" s="1"/>
  <c r="AA70" i="14" a="1"/>
  <c r="AA70" i="14" s="1"/>
  <c r="B70" i="14"/>
  <c r="A70" i="14"/>
  <c r="AT69" i="14" a="1"/>
  <c r="AT69" i="14" s="1"/>
  <c r="AO69" i="1" s="1"/>
  <c r="AS69" i="14" a="1"/>
  <c r="AS69" i="14" s="1"/>
  <c r="N69" i="1" s="1"/>
  <c r="AR69" i="14" a="1"/>
  <c r="AR69" i="14" s="1"/>
  <c r="AQ69" i="14" a="1"/>
  <c r="AQ69" i="14" s="1"/>
  <c r="AP69" i="14" a="1"/>
  <c r="AP69" i="14" s="1"/>
  <c r="AO69" i="14" a="1"/>
  <c r="AO69" i="14" s="1"/>
  <c r="AN69" i="14" a="1"/>
  <c r="AN69" i="14" s="1"/>
  <c r="AM69" i="14" a="1"/>
  <c r="AM69" i="14" s="1"/>
  <c r="AL69" i="14" a="1"/>
  <c r="AL69" i="14" s="1"/>
  <c r="AK69" i="14" a="1"/>
  <c r="AK69" i="14" s="1"/>
  <c r="AJ69" i="14" a="1"/>
  <c r="AJ69" i="14" s="1"/>
  <c r="AI69" i="14" a="1"/>
  <c r="AI69" i="14" s="1"/>
  <c r="AD69" i="14" a="1"/>
  <c r="AD69" i="14" s="1"/>
  <c r="AC69" i="14" a="1"/>
  <c r="AC69" i="14" s="1"/>
  <c r="AB69" i="14" a="1"/>
  <c r="AB69" i="14" s="1"/>
  <c r="AA69" i="14" a="1"/>
  <c r="AA69" i="14" s="1"/>
  <c r="B69" i="14"/>
  <c r="A69" i="14"/>
  <c r="AT68" i="14" a="1"/>
  <c r="AT68" i="14" s="1"/>
  <c r="AO68" i="1" s="1"/>
  <c r="AS68" i="14" a="1"/>
  <c r="AS68" i="14" s="1"/>
  <c r="N68" i="1" s="1"/>
  <c r="AR68" i="14" a="1"/>
  <c r="AR68" i="14" s="1"/>
  <c r="AQ68" i="14" a="1"/>
  <c r="AQ68" i="14" s="1"/>
  <c r="AP68" i="14" a="1"/>
  <c r="AP68" i="14" s="1"/>
  <c r="AO68" i="14" a="1"/>
  <c r="AO68" i="14" s="1"/>
  <c r="AN68" i="14" a="1"/>
  <c r="AN68" i="14" s="1"/>
  <c r="AM68" i="14" a="1"/>
  <c r="AM68" i="14" s="1"/>
  <c r="AL68" i="14" a="1"/>
  <c r="AL68" i="14" s="1"/>
  <c r="AK68" i="14" a="1"/>
  <c r="AK68" i="14" s="1"/>
  <c r="AJ68" i="14" a="1"/>
  <c r="AJ68" i="14" s="1"/>
  <c r="AI68" i="14" a="1"/>
  <c r="AI68" i="14" s="1"/>
  <c r="AD68" i="14" a="1"/>
  <c r="AD68" i="14" s="1"/>
  <c r="AC68" i="14" a="1"/>
  <c r="AC68" i="14" s="1"/>
  <c r="AB68" i="14" a="1"/>
  <c r="AB68" i="14" s="1"/>
  <c r="AA68" i="14" a="1"/>
  <c r="AA68" i="14" s="1"/>
  <c r="F68" i="14" a="1"/>
  <c r="F68" i="14" s="1"/>
  <c r="B68" i="14"/>
  <c r="A68" i="14"/>
  <c r="AT67" i="14" a="1"/>
  <c r="AT67" i="14" s="1"/>
  <c r="AO67" i="1" s="1"/>
  <c r="AS67" i="14" a="1"/>
  <c r="AS67" i="14" s="1"/>
  <c r="N67" i="1" s="1"/>
  <c r="AR67" i="14" a="1"/>
  <c r="AR67" i="14" s="1"/>
  <c r="AQ67" i="14" a="1"/>
  <c r="AQ67" i="14" s="1"/>
  <c r="AP67" i="14" a="1"/>
  <c r="AP67" i="14" s="1"/>
  <c r="AO67" i="14" a="1"/>
  <c r="AO67" i="14" s="1"/>
  <c r="AN67" i="14" a="1"/>
  <c r="AN67" i="14" s="1"/>
  <c r="AM67" i="14" a="1"/>
  <c r="AM67" i="14" s="1"/>
  <c r="AL67" i="14" a="1"/>
  <c r="AL67" i="14" s="1"/>
  <c r="AK67" i="14" a="1"/>
  <c r="AK67" i="14" s="1"/>
  <c r="AJ67" i="14" a="1"/>
  <c r="AJ67" i="14" s="1"/>
  <c r="AI67" i="14" a="1"/>
  <c r="AI67" i="14" s="1"/>
  <c r="AD67" i="14" a="1"/>
  <c r="AD67" i="14" s="1"/>
  <c r="AC67" i="14" a="1"/>
  <c r="AC67" i="14" s="1"/>
  <c r="AB67" i="14" a="1"/>
  <c r="AB67" i="14" s="1"/>
  <c r="AA67" i="14" a="1"/>
  <c r="AA67" i="14" s="1"/>
  <c r="F67" i="14" a="1"/>
  <c r="F67" i="14" s="1"/>
  <c r="B67" i="14"/>
  <c r="A67" i="14"/>
  <c r="AT66" i="14" a="1"/>
  <c r="AT66" i="14" s="1"/>
  <c r="AO66" i="1" s="1"/>
  <c r="AS66" i="14" a="1"/>
  <c r="AS66" i="14" s="1"/>
  <c r="N66" i="1" s="1"/>
  <c r="AR66" i="14" a="1"/>
  <c r="AR66" i="14" s="1"/>
  <c r="AQ66" i="14" a="1"/>
  <c r="AQ66" i="14" s="1"/>
  <c r="AP66" i="14" a="1"/>
  <c r="AP66" i="14" s="1"/>
  <c r="AO66" i="14" a="1"/>
  <c r="AO66" i="14" s="1"/>
  <c r="AN66" i="14" a="1"/>
  <c r="AN66" i="14" s="1"/>
  <c r="AM66" i="14" a="1"/>
  <c r="AM66" i="14" s="1"/>
  <c r="AL66" i="14" a="1"/>
  <c r="AL66" i="14" s="1"/>
  <c r="AK66" i="14" a="1"/>
  <c r="AK66" i="14" s="1"/>
  <c r="AJ66" i="14" a="1"/>
  <c r="AJ66" i="14" s="1"/>
  <c r="AI66" i="14" a="1"/>
  <c r="AI66" i="14" s="1"/>
  <c r="AD66" i="14" a="1"/>
  <c r="AD66" i="14" s="1"/>
  <c r="AC66" i="14" a="1"/>
  <c r="AC66" i="14" s="1"/>
  <c r="AB66" i="14" a="1"/>
  <c r="AB66" i="14" s="1"/>
  <c r="AA66" i="14" a="1"/>
  <c r="AA66" i="14" s="1"/>
  <c r="F66" i="14" a="1"/>
  <c r="F66" i="14" s="1"/>
  <c r="B66" i="14"/>
  <c r="A66" i="14"/>
  <c r="AT65" i="14" a="1"/>
  <c r="AT65" i="14" s="1"/>
  <c r="AO65" i="1" s="1"/>
  <c r="AS65" i="14" a="1"/>
  <c r="AS65" i="14" s="1"/>
  <c r="N65" i="1" s="1"/>
  <c r="AR65" i="14" a="1"/>
  <c r="AR65" i="14" s="1"/>
  <c r="AQ65" i="14" a="1"/>
  <c r="AQ65" i="14" s="1"/>
  <c r="AP65" i="14" a="1"/>
  <c r="AP65" i="14" s="1"/>
  <c r="AO65" i="14" a="1"/>
  <c r="AO65" i="14" s="1"/>
  <c r="AN65" i="14" a="1"/>
  <c r="AN65" i="14" s="1"/>
  <c r="AM65" i="14" a="1"/>
  <c r="AM65" i="14" s="1"/>
  <c r="AL65" i="14" a="1"/>
  <c r="AL65" i="14" s="1"/>
  <c r="AK65" i="14" a="1"/>
  <c r="AK65" i="14" s="1"/>
  <c r="AJ65" i="14" a="1"/>
  <c r="AJ65" i="14" s="1"/>
  <c r="AI65" i="14" a="1"/>
  <c r="AI65" i="14" s="1"/>
  <c r="AD65" i="14" a="1"/>
  <c r="AD65" i="14" s="1"/>
  <c r="AC65" i="14" a="1"/>
  <c r="AC65" i="14" s="1"/>
  <c r="AB65" i="14" a="1"/>
  <c r="AB65" i="14" s="1"/>
  <c r="AA65" i="14" a="1"/>
  <c r="AA65" i="14" s="1"/>
  <c r="F65" i="14" a="1"/>
  <c r="F65" i="14" s="1"/>
  <c r="B65" i="14"/>
  <c r="A65" i="14"/>
  <c r="AT64" i="14" a="1"/>
  <c r="AT64" i="14" s="1"/>
  <c r="AO64" i="1" s="1"/>
  <c r="AS64" i="14" a="1"/>
  <c r="AS64" i="14" s="1"/>
  <c r="N64" i="1" s="1"/>
  <c r="AR64" i="14" a="1"/>
  <c r="AR64" i="14" s="1"/>
  <c r="AQ64" i="14" a="1"/>
  <c r="AQ64" i="14" s="1"/>
  <c r="AP64" i="14" a="1"/>
  <c r="AP64" i="14" s="1"/>
  <c r="AO64" i="14" a="1"/>
  <c r="AO64" i="14" s="1"/>
  <c r="AN64" i="14" a="1"/>
  <c r="AN64" i="14" s="1"/>
  <c r="AM64" i="14" a="1"/>
  <c r="AM64" i="14" s="1"/>
  <c r="AL64" i="14" a="1"/>
  <c r="AL64" i="14" s="1"/>
  <c r="AK64" i="14" a="1"/>
  <c r="AK64" i="14" s="1"/>
  <c r="AJ64" i="14" a="1"/>
  <c r="AJ64" i="14" s="1"/>
  <c r="AI64" i="14" a="1"/>
  <c r="AI64" i="14" s="1"/>
  <c r="AD64" i="14" a="1"/>
  <c r="AD64" i="14" s="1"/>
  <c r="AC64" i="14" a="1"/>
  <c r="AC64" i="14" s="1"/>
  <c r="AB64" i="14" a="1"/>
  <c r="AB64" i="14" s="1"/>
  <c r="AA64" i="14" a="1"/>
  <c r="AA64" i="14" s="1"/>
  <c r="B64" i="14"/>
  <c r="A64" i="14"/>
  <c r="AT63" i="14" a="1"/>
  <c r="AT63" i="14" s="1"/>
  <c r="AO63" i="1" s="1"/>
  <c r="AS63" i="14" a="1"/>
  <c r="AS63" i="14" s="1"/>
  <c r="N63" i="1" s="1"/>
  <c r="AR63" i="14" a="1"/>
  <c r="AR63" i="14" s="1"/>
  <c r="AQ63" i="14" a="1"/>
  <c r="AQ63" i="14" s="1"/>
  <c r="AP63" i="14" a="1"/>
  <c r="AP63" i="14" s="1"/>
  <c r="AO63" i="14" a="1"/>
  <c r="AO63" i="14" s="1"/>
  <c r="AN63" i="14" a="1"/>
  <c r="AN63" i="14" s="1"/>
  <c r="AM63" i="14" a="1"/>
  <c r="AM63" i="14" s="1"/>
  <c r="AL63" i="14" a="1"/>
  <c r="AL63" i="14" s="1"/>
  <c r="AK63" i="14" a="1"/>
  <c r="AK63" i="14" s="1"/>
  <c r="AJ63" i="14" a="1"/>
  <c r="AJ63" i="14" s="1"/>
  <c r="AI63" i="14" a="1"/>
  <c r="AI63" i="14" s="1"/>
  <c r="AD63" i="14" a="1"/>
  <c r="AD63" i="14" s="1"/>
  <c r="AC63" i="14" a="1"/>
  <c r="AC63" i="14" s="1"/>
  <c r="AB63" i="14" a="1"/>
  <c r="AB63" i="14" s="1"/>
  <c r="AA63" i="14" a="1"/>
  <c r="AA63" i="14" s="1"/>
  <c r="F63" i="14" a="1"/>
  <c r="F63" i="14" s="1"/>
  <c r="B63" i="14"/>
  <c r="A63" i="14"/>
  <c r="AT62" i="14" a="1"/>
  <c r="AT62" i="14" s="1"/>
  <c r="AO62" i="1" s="1"/>
  <c r="AS62" i="14" a="1"/>
  <c r="AS62" i="14" s="1"/>
  <c r="N62" i="1" s="1"/>
  <c r="AR62" i="14" a="1"/>
  <c r="AR62" i="14" s="1"/>
  <c r="AQ62" i="14" a="1"/>
  <c r="AQ62" i="14" s="1"/>
  <c r="AP62" i="14" a="1"/>
  <c r="AP62" i="14" s="1"/>
  <c r="AO62" i="14" a="1"/>
  <c r="AO62" i="14" s="1"/>
  <c r="AN62" i="14" a="1"/>
  <c r="AN62" i="14" s="1"/>
  <c r="AM62" i="14" a="1"/>
  <c r="AM62" i="14" s="1"/>
  <c r="AL62" i="14" a="1"/>
  <c r="AL62" i="14" s="1"/>
  <c r="AK62" i="14" a="1"/>
  <c r="AK62" i="14" s="1"/>
  <c r="AJ62" i="14" a="1"/>
  <c r="AJ62" i="14" s="1"/>
  <c r="AI62" i="14" a="1"/>
  <c r="AI62" i="14" s="1"/>
  <c r="AD62" i="14" a="1"/>
  <c r="AD62" i="14" s="1"/>
  <c r="AC62" i="14" a="1"/>
  <c r="AC62" i="14" s="1"/>
  <c r="AB62" i="14" a="1"/>
  <c r="AB62" i="14" s="1"/>
  <c r="AA62" i="14" a="1"/>
  <c r="AA62" i="14" s="1"/>
  <c r="F62" i="14" a="1"/>
  <c r="F62" i="14" s="1"/>
  <c r="B62" i="14"/>
  <c r="A62" i="14"/>
  <c r="AT61" i="14" a="1"/>
  <c r="AT61" i="14" s="1"/>
  <c r="AO61" i="1" s="1"/>
  <c r="AS61" i="14" a="1"/>
  <c r="AS61" i="14" s="1"/>
  <c r="N61" i="1" s="1"/>
  <c r="AR61" i="14" a="1"/>
  <c r="AR61" i="14" s="1"/>
  <c r="AQ61" i="14" a="1"/>
  <c r="AQ61" i="14" s="1"/>
  <c r="AP61" i="14" a="1"/>
  <c r="AP61" i="14" s="1"/>
  <c r="AO61" i="14" a="1"/>
  <c r="AO61" i="14" s="1"/>
  <c r="AN61" i="14" a="1"/>
  <c r="AN61" i="14" s="1"/>
  <c r="AM61" i="14" a="1"/>
  <c r="AM61" i="14" s="1"/>
  <c r="AL61" i="14" a="1"/>
  <c r="AL61" i="14" s="1"/>
  <c r="AK61" i="14" a="1"/>
  <c r="AK61" i="14" s="1"/>
  <c r="AJ61" i="14" a="1"/>
  <c r="AJ61" i="14" s="1"/>
  <c r="AI61" i="14" a="1"/>
  <c r="AI61" i="14" s="1"/>
  <c r="AD61" i="14" a="1"/>
  <c r="AD61" i="14" s="1"/>
  <c r="AC61" i="14" a="1"/>
  <c r="AC61" i="14" s="1"/>
  <c r="AB61" i="14" a="1"/>
  <c r="AB61" i="14" s="1"/>
  <c r="AA61" i="14" a="1"/>
  <c r="AA61" i="14" s="1"/>
  <c r="F61" i="14" a="1"/>
  <c r="F61" i="14" s="1"/>
  <c r="B61" i="14"/>
  <c r="A61" i="14"/>
  <c r="AT60" i="14" a="1"/>
  <c r="AT60" i="14" s="1"/>
  <c r="AO60" i="1" s="1"/>
  <c r="AS60" i="14" a="1"/>
  <c r="AS60" i="14" s="1"/>
  <c r="N60" i="1" s="1"/>
  <c r="AR60" i="14" a="1"/>
  <c r="AR60" i="14" s="1"/>
  <c r="AQ60" i="14" a="1"/>
  <c r="AQ60" i="14" s="1"/>
  <c r="AP60" i="14" a="1"/>
  <c r="AP60" i="14" s="1"/>
  <c r="AO60" i="14" a="1"/>
  <c r="AO60" i="14" s="1"/>
  <c r="AN60" i="14" a="1"/>
  <c r="AN60" i="14" s="1"/>
  <c r="AM60" i="14" a="1"/>
  <c r="AM60" i="14" s="1"/>
  <c r="AL60" i="14" a="1"/>
  <c r="AL60" i="14" s="1"/>
  <c r="AK60" i="14" a="1"/>
  <c r="AK60" i="14" s="1"/>
  <c r="AJ60" i="14" a="1"/>
  <c r="AJ60" i="14" s="1"/>
  <c r="AI60" i="14" a="1"/>
  <c r="AI60" i="14" s="1"/>
  <c r="AD60" i="14" a="1"/>
  <c r="AD60" i="14" s="1"/>
  <c r="AC60" i="14" a="1"/>
  <c r="AC60" i="14" s="1"/>
  <c r="AB60" i="14" a="1"/>
  <c r="AB60" i="14" s="1"/>
  <c r="AA60" i="14" a="1"/>
  <c r="AA60" i="14" s="1"/>
  <c r="B60" i="14"/>
  <c r="A60" i="14"/>
  <c r="AT59" i="14" a="1"/>
  <c r="AT59" i="14" s="1"/>
  <c r="AO59" i="1" s="1"/>
  <c r="AS59" i="14" a="1"/>
  <c r="AS59" i="14" s="1"/>
  <c r="N59" i="1" s="1"/>
  <c r="AR59" i="14" a="1"/>
  <c r="AR59" i="14" s="1"/>
  <c r="AQ59" i="14" a="1"/>
  <c r="AQ59" i="14" s="1"/>
  <c r="AP59" i="14" a="1"/>
  <c r="AP59" i="14" s="1"/>
  <c r="AO59" i="14" a="1"/>
  <c r="AO59" i="14" s="1"/>
  <c r="AN59" i="14" a="1"/>
  <c r="AN59" i="14" s="1"/>
  <c r="AM59" i="14" a="1"/>
  <c r="AM59" i="14" s="1"/>
  <c r="AL59" i="14" a="1"/>
  <c r="AL59" i="14" s="1"/>
  <c r="AK59" i="14" a="1"/>
  <c r="AK59" i="14" s="1"/>
  <c r="AJ59" i="14" a="1"/>
  <c r="AJ59" i="14" s="1"/>
  <c r="AI59" i="14" a="1"/>
  <c r="AI59" i="14" s="1"/>
  <c r="AD59" i="14" a="1"/>
  <c r="AD59" i="14" s="1"/>
  <c r="AC59" i="14" a="1"/>
  <c r="AC59" i="14" s="1"/>
  <c r="AB59" i="14" a="1"/>
  <c r="AB59" i="14" s="1"/>
  <c r="AA59" i="14" a="1"/>
  <c r="AA59" i="14" s="1"/>
  <c r="F59" i="14" a="1"/>
  <c r="F59" i="14" s="1"/>
  <c r="B59" i="14"/>
  <c r="A59" i="14"/>
  <c r="AT58" i="14" a="1"/>
  <c r="AT58" i="14" s="1"/>
  <c r="AO58" i="1" s="1"/>
  <c r="AS58" i="14" a="1"/>
  <c r="AS58" i="14" s="1"/>
  <c r="N58" i="1" s="1"/>
  <c r="AR58" i="14" a="1"/>
  <c r="AR58" i="14" s="1"/>
  <c r="AQ58" i="14" a="1"/>
  <c r="AQ58" i="14" s="1"/>
  <c r="AP58" i="14" a="1"/>
  <c r="AP58" i="14" s="1"/>
  <c r="AO58" i="14" a="1"/>
  <c r="AO58" i="14" s="1"/>
  <c r="AN58" i="14" a="1"/>
  <c r="AN58" i="14" s="1"/>
  <c r="AM58" i="14" a="1"/>
  <c r="AM58" i="14" s="1"/>
  <c r="AL58" i="14" a="1"/>
  <c r="AL58" i="14" s="1"/>
  <c r="AK58" i="14" a="1"/>
  <c r="AK58" i="14" s="1"/>
  <c r="AJ58" i="14" a="1"/>
  <c r="AJ58" i="14" s="1"/>
  <c r="AI58" i="14" a="1"/>
  <c r="AI58" i="14" s="1"/>
  <c r="AD58" i="14" a="1"/>
  <c r="AD58" i="14" s="1"/>
  <c r="AC58" i="14" a="1"/>
  <c r="AC58" i="14" s="1"/>
  <c r="AB58" i="14" a="1"/>
  <c r="AB58" i="14" s="1"/>
  <c r="AA58" i="14" a="1"/>
  <c r="AA58" i="14" s="1"/>
  <c r="F58" i="14" a="1"/>
  <c r="F58" i="14" s="1"/>
  <c r="B58" i="14"/>
  <c r="A58" i="14"/>
  <c r="AT57" i="14" a="1"/>
  <c r="AT57" i="14" s="1"/>
  <c r="AO57" i="1" s="1"/>
  <c r="AS57" i="14" a="1"/>
  <c r="AS57" i="14" s="1"/>
  <c r="N57" i="1" s="1"/>
  <c r="AR57" i="14" a="1"/>
  <c r="AR57" i="14" s="1"/>
  <c r="AQ57" i="14" a="1"/>
  <c r="AQ57" i="14" s="1"/>
  <c r="AP57" i="14" a="1"/>
  <c r="AP57" i="14" s="1"/>
  <c r="AO57" i="14" a="1"/>
  <c r="AO57" i="14" s="1"/>
  <c r="AN57" i="14" a="1"/>
  <c r="AN57" i="14" s="1"/>
  <c r="AM57" i="14" a="1"/>
  <c r="AM57" i="14" s="1"/>
  <c r="AL57" i="14" a="1"/>
  <c r="AL57" i="14" s="1"/>
  <c r="AK57" i="14" a="1"/>
  <c r="AK57" i="14" s="1"/>
  <c r="AJ57" i="14" a="1"/>
  <c r="AJ57" i="14" s="1"/>
  <c r="AI57" i="14" a="1"/>
  <c r="AI57" i="14" s="1"/>
  <c r="AD57" i="14" a="1"/>
  <c r="AD57" i="14" s="1"/>
  <c r="AC57" i="14" a="1"/>
  <c r="AC57" i="14" s="1"/>
  <c r="AB57" i="14" a="1"/>
  <c r="AB57" i="14" s="1"/>
  <c r="AA57" i="14" a="1"/>
  <c r="AA57" i="14" s="1"/>
  <c r="B57" i="14"/>
  <c r="A57" i="14"/>
  <c r="AT56" i="14" a="1"/>
  <c r="AT56" i="14" s="1"/>
  <c r="AO56" i="1" s="1"/>
  <c r="AS56" i="14" a="1"/>
  <c r="AS56" i="14" s="1"/>
  <c r="N56" i="1" s="1"/>
  <c r="AR56" i="14" a="1"/>
  <c r="AR56" i="14" s="1"/>
  <c r="AQ56" i="14" a="1"/>
  <c r="AQ56" i="14" s="1"/>
  <c r="AP56" i="14" a="1"/>
  <c r="AP56" i="14" s="1"/>
  <c r="AO56" i="14" a="1"/>
  <c r="AO56" i="14" s="1"/>
  <c r="AN56" i="14" a="1"/>
  <c r="AN56" i="14" s="1"/>
  <c r="AM56" i="14" a="1"/>
  <c r="AM56" i="14" s="1"/>
  <c r="AL56" i="14" a="1"/>
  <c r="AL56" i="14" s="1"/>
  <c r="AK56" i="14" a="1"/>
  <c r="AK56" i="14" s="1"/>
  <c r="AJ56" i="14" a="1"/>
  <c r="AJ56" i="14" s="1"/>
  <c r="AI56" i="14" a="1"/>
  <c r="AI56" i="14" s="1"/>
  <c r="AD56" i="14" a="1"/>
  <c r="AD56" i="14" s="1"/>
  <c r="AC56" i="14" a="1"/>
  <c r="AC56" i="14" s="1"/>
  <c r="AB56" i="14" a="1"/>
  <c r="AB56" i="14" s="1"/>
  <c r="AA56" i="14" a="1"/>
  <c r="AA56" i="14" s="1"/>
  <c r="F56" i="14" a="1"/>
  <c r="F56" i="14" s="1"/>
  <c r="B56" i="14"/>
  <c r="A56" i="14"/>
  <c r="AT55" i="14" a="1"/>
  <c r="AT55" i="14" s="1"/>
  <c r="AO55" i="1" s="1"/>
  <c r="AS55" i="14" a="1"/>
  <c r="AS55" i="14" s="1"/>
  <c r="N55" i="1" s="1"/>
  <c r="AR55" i="14" a="1"/>
  <c r="AR55" i="14" s="1"/>
  <c r="AQ55" i="14" a="1"/>
  <c r="AQ55" i="14" s="1"/>
  <c r="AP55" i="14" a="1"/>
  <c r="AP55" i="14" s="1"/>
  <c r="AO55" i="14" a="1"/>
  <c r="AO55" i="14" s="1"/>
  <c r="AN55" i="14" a="1"/>
  <c r="AN55" i="14" s="1"/>
  <c r="AM55" i="14" a="1"/>
  <c r="AM55" i="14" s="1"/>
  <c r="AL55" i="14" a="1"/>
  <c r="AL55" i="14" s="1"/>
  <c r="AK55" i="14" a="1"/>
  <c r="AK55" i="14" s="1"/>
  <c r="AJ55" i="14" a="1"/>
  <c r="AJ55" i="14" s="1"/>
  <c r="AI55" i="14" a="1"/>
  <c r="AI55" i="14" s="1"/>
  <c r="AD55" i="14" a="1"/>
  <c r="AD55" i="14" s="1"/>
  <c r="AC55" i="14" a="1"/>
  <c r="AC55" i="14" s="1"/>
  <c r="AB55" i="14" a="1"/>
  <c r="AB55" i="14" s="1"/>
  <c r="AA55" i="14" a="1"/>
  <c r="AA55" i="14" s="1"/>
  <c r="F55" i="14" a="1"/>
  <c r="F55" i="14" s="1"/>
  <c r="B55" i="14"/>
  <c r="A55" i="14"/>
  <c r="AT54" i="14" a="1"/>
  <c r="AT54" i="14" s="1"/>
  <c r="AO54" i="1" s="1"/>
  <c r="AS54" i="14" a="1"/>
  <c r="AS54" i="14" s="1"/>
  <c r="N54" i="1" s="1"/>
  <c r="AR54" i="14" a="1"/>
  <c r="AR54" i="14" s="1"/>
  <c r="AQ54" i="14" a="1"/>
  <c r="AQ54" i="14" s="1"/>
  <c r="AP54" i="14" a="1"/>
  <c r="AP54" i="14" s="1"/>
  <c r="AO54" i="14" a="1"/>
  <c r="AO54" i="14" s="1"/>
  <c r="AN54" i="14" a="1"/>
  <c r="AN54" i="14" s="1"/>
  <c r="AM54" i="14" a="1"/>
  <c r="AM54" i="14" s="1"/>
  <c r="AL54" i="14" a="1"/>
  <c r="AL54" i="14" s="1"/>
  <c r="AK54" i="14" a="1"/>
  <c r="AK54" i="14" s="1"/>
  <c r="AJ54" i="14" a="1"/>
  <c r="AJ54" i="14" s="1"/>
  <c r="AI54" i="14" a="1"/>
  <c r="AI54" i="14" s="1"/>
  <c r="AD54" i="14" a="1"/>
  <c r="AD54" i="14" s="1"/>
  <c r="AC54" i="14" a="1"/>
  <c r="AC54" i="14" s="1"/>
  <c r="AB54" i="14" a="1"/>
  <c r="AB54" i="14" s="1"/>
  <c r="AA54" i="14" a="1"/>
  <c r="AA54" i="14" s="1"/>
  <c r="F54" i="14" a="1"/>
  <c r="F54" i="14" s="1"/>
  <c r="B54" i="14"/>
  <c r="A54" i="14"/>
  <c r="AT53" i="14" a="1"/>
  <c r="AT53" i="14" s="1"/>
  <c r="AO53" i="1" s="1"/>
  <c r="AS53" i="14" a="1"/>
  <c r="AS53" i="14" s="1"/>
  <c r="N53" i="1" s="1"/>
  <c r="AR53" i="14" a="1"/>
  <c r="AR53" i="14" s="1"/>
  <c r="AQ53" i="14" a="1"/>
  <c r="AQ53" i="14" s="1"/>
  <c r="AP53" i="14" a="1"/>
  <c r="AP53" i="14" s="1"/>
  <c r="AO53" i="14" a="1"/>
  <c r="AO53" i="14" s="1"/>
  <c r="AN53" i="14" a="1"/>
  <c r="AN53" i="14" s="1"/>
  <c r="AM53" i="14" a="1"/>
  <c r="AM53" i="14" s="1"/>
  <c r="AL53" i="14" a="1"/>
  <c r="AL53" i="14" s="1"/>
  <c r="AK53" i="14" a="1"/>
  <c r="AK53" i="14" s="1"/>
  <c r="AJ53" i="14" a="1"/>
  <c r="AJ53" i="14" s="1"/>
  <c r="AI53" i="14" a="1"/>
  <c r="AI53" i="14" s="1"/>
  <c r="AD53" i="14" a="1"/>
  <c r="AD53" i="14" s="1"/>
  <c r="AC53" i="14" a="1"/>
  <c r="AC53" i="14" s="1"/>
  <c r="AB53" i="14" a="1"/>
  <c r="AB53" i="14" s="1"/>
  <c r="AA53" i="14" a="1"/>
  <c r="AA53" i="14" s="1"/>
  <c r="F53" i="14" a="1"/>
  <c r="F53" i="14" s="1"/>
  <c r="B53" i="14"/>
  <c r="A53" i="14"/>
  <c r="AT52" i="14" a="1"/>
  <c r="AT52" i="14" s="1"/>
  <c r="AO52" i="1" s="1"/>
  <c r="AS52" i="14" a="1"/>
  <c r="AS52" i="14" s="1"/>
  <c r="N52" i="1" s="1"/>
  <c r="AR52" i="14" a="1"/>
  <c r="AR52" i="14" s="1"/>
  <c r="AQ52" i="14" a="1"/>
  <c r="AQ52" i="14" s="1"/>
  <c r="AP52" i="14" a="1"/>
  <c r="AP52" i="14" s="1"/>
  <c r="AO52" i="14" a="1"/>
  <c r="AO52" i="14" s="1"/>
  <c r="AN52" i="14" a="1"/>
  <c r="AN52" i="14" s="1"/>
  <c r="AM52" i="14" a="1"/>
  <c r="AM52" i="14" s="1"/>
  <c r="AL52" i="14" a="1"/>
  <c r="AL52" i="14" s="1"/>
  <c r="AK52" i="14" a="1"/>
  <c r="AK52" i="14" s="1"/>
  <c r="AJ52" i="14" a="1"/>
  <c r="AJ52" i="14" s="1"/>
  <c r="AI52" i="14" a="1"/>
  <c r="AI52" i="14" s="1"/>
  <c r="AD52" i="14" a="1"/>
  <c r="AD52" i="14" s="1"/>
  <c r="AC52" i="14" a="1"/>
  <c r="AC52" i="14" s="1"/>
  <c r="AB52" i="14" a="1"/>
  <c r="AB52" i="14" s="1"/>
  <c r="AA52" i="14" a="1"/>
  <c r="AA52" i="14" s="1"/>
  <c r="F52" i="14" a="1"/>
  <c r="F52" i="14" s="1"/>
  <c r="B52" i="14"/>
  <c r="A52" i="14"/>
  <c r="AT51" i="14" a="1"/>
  <c r="AT51" i="14" s="1"/>
  <c r="AO51" i="1" s="1"/>
  <c r="AQ51" i="1" s="1"/>
  <c r="AS51" i="14" a="1"/>
  <c r="AS51" i="14" s="1"/>
  <c r="N51" i="1" s="1"/>
  <c r="P51" i="1" s="1"/>
  <c r="AR51" i="14" a="1"/>
  <c r="AR51" i="14" s="1"/>
  <c r="AQ51" i="14" a="1"/>
  <c r="AQ51" i="14" s="1"/>
  <c r="AP51" i="14" a="1"/>
  <c r="AP51" i="14" s="1"/>
  <c r="AO51" i="14" a="1"/>
  <c r="AO51" i="14" s="1"/>
  <c r="AN51" i="14" a="1"/>
  <c r="AN51" i="14" s="1"/>
  <c r="AM51" i="14" a="1"/>
  <c r="AM51" i="14" s="1"/>
  <c r="AL51" i="14" a="1"/>
  <c r="AL51" i="14" s="1"/>
  <c r="AK51" i="14" a="1"/>
  <c r="AK51" i="14" s="1"/>
  <c r="AJ51" i="14" a="1"/>
  <c r="AJ51" i="14" s="1"/>
  <c r="AI51" i="14" a="1"/>
  <c r="AI51" i="14" s="1"/>
  <c r="AD51" i="14" a="1"/>
  <c r="AD51" i="14" s="1"/>
  <c r="AC51" i="14" a="1"/>
  <c r="AC51" i="14" s="1"/>
  <c r="AB51" i="14" a="1"/>
  <c r="AB51" i="14" s="1"/>
  <c r="AA51" i="14" a="1"/>
  <c r="AA51" i="14" s="1"/>
  <c r="F51" i="14" a="1"/>
  <c r="F51" i="14" s="1"/>
  <c r="B51" i="14"/>
  <c r="A51" i="14"/>
  <c r="AT50" i="14" a="1"/>
  <c r="AT50" i="14" s="1"/>
  <c r="AO50" i="1" s="1"/>
  <c r="AS50" i="14" a="1"/>
  <c r="AS50" i="14" s="1"/>
  <c r="N50" i="1" s="1"/>
  <c r="AR50" i="14" a="1"/>
  <c r="AR50" i="14" s="1"/>
  <c r="AQ50" i="14" a="1"/>
  <c r="AQ50" i="14" s="1"/>
  <c r="AP50" i="14" a="1"/>
  <c r="AP50" i="14" s="1"/>
  <c r="AO50" i="14" a="1"/>
  <c r="AO50" i="14" s="1"/>
  <c r="AN50" i="14" a="1"/>
  <c r="AN50" i="14" s="1"/>
  <c r="AM50" i="14" a="1"/>
  <c r="AM50" i="14" s="1"/>
  <c r="AL50" i="14" a="1"/>
  <c r="AL50" i="14" s="1"/>
  <c r="AK50" i="14" a="1"/>
  <c r="AK50" i="14" s="1"/>
  <c r="AJ50" i="14" a="1"/>
  <c r="AJ50" i="14" s="1"/>
  <c r="AI50" i="14" a="1"/>
  <c r="AI50" i="14" s="1"/>
  <c r="AD50" i="14" a="1"/>
  <c r="AD50" i="14" s="1"/>
  <c r="AC50" i="14" a="1"/>
  <c r="AC50" i="14" s="1"/>
  <c r="AB50" i="14" a="1"/>
  <c r="AB50" i="14" s="1"/>
  <c r="AA50" i="14" a="1"/>
  <c r="AA50" i="14" s="1"/>
  <c r="F50" i="14" a="1"/>
  <c r="F50" i="14" s="1"/>
  <c r="B50" i="14"/>
  <c r="A50" i="14"/>
  <c r="AT49" i="14" a="1"/>
  <c r="AT49" i="14" s="1"/>
  <c r="AO49" i="1" s="1"/>
  <c r="AS49" i="14" a="1"/>
  <c r="AS49" i="14" s="1"/>
  <c r="N49" i="1" s="1"/>
  <c r="AR49" i="14" a="1"/>
  <c r="AR49" i="14" s="1"/>
  <c r="AQ49" i="14" a="1"/>
  <c r="AQ49" i="14" s="1"/>
  <c r="AP49" i="14" a="1"/>
  <c r="AP49" i="14" s="1"/>
  <c r="AO49" i="14" a="1"/>
  <c r="AO49" i="14" s="1"/>
  <c r="AN49" i="14" a="1"/>
  <c r="AN49" i="14" s="1"/>
  <c r="AM49" i="14" a="1"/>
  <c r="AM49" i="14" s="1"/>
  <c r="AL49" i="14" a="1"/>
  <c r="AL49" i="14" s="1"/>
  <c r="AK49" i="14" a="1"/>
  <c r="AK49" i="14" s="1"/>
  <c r="AJ49" i="14" a="1"/>
  <c r="AJ49" i="14" s="1"/>
  <c r="AI49" i="14" a="1"/>
  <c r="AI49" i="14" s="1"/>
  <c r="AD49" i="14" a="1"/>
  <c r="AD49" i="14" s="1"/>
  <c r="AC49" i="14" a="1"/>
  <c r="AC49" i="14" s="1"/>
  <c r="AB49" i="14" a="1"/>
  <c r="AB49" i="14" s="1"/>
  <c r="AA49" i="14" a="1"/>
  <c r="AA49" i="14" s="1"/>
  <c r="F49" i="14" a="1"/>
  <c r="F49" i="14" s="1"/>
  <c r="B49" i="14"/>
  <c r="A49" i="14"/>
  <c r="AT48" i="14" a="1"/>
  <c r="AT48" i="14" s="1"/>
  <c r="AS48" i="14" a="1"/>
  <c r="AS48" i="14" s="1"/>
  <c r="AR48" i="14" a="1"/>
  <c r="AR48" i="14" s="1"/>
  <c r="AQ48" i="14" a="1"/>
  <c r="AQ48" i="14" s="1"/>
  <c r="AP48" i="14" a="1"/>
  <c r="AP48" i="14" s="1"/>
  <c r="AO48" i="14" a="1"/>
  <c r="AO48" i="14" s="1"/>
  <c r="AN48" i="14" a="1"/>
  <c r="AN48" i="14" s="1"/>
  <c r="AM48" i="14" a="1"/>
  <c r="AM48" i="14" s="1"/>
  <c r="AL48" i="14" a="1"/>
  <c r="AL48" i="14" s="1"/>
  <c r="AK48" i="14" a="1"/>
  <c r="AK48" i="14" s="1"/>
  <c r="AJ48" i="14" a="1"/>
  <c r="AJ48" i="14" s="1"/>
  <c r="AI48" i="14" a="1"/>
  <c r="AI48" i="14" s="1"/>
  <c r="AD48" i="14" a="1"/>
  <c r="AD48" i="14" s="1"/>
  <c r="AC48" i="14" a="1"/>
  <c r="AC48" i="14" s="1"/>
  <c r="AB48" i="14" a="1"/>
  <c r="AB48" i="14" s="1"/>
  <c r="AA48" i="14" a="1"/>
  <c r="AA48" i="14" s="1"/>
  <c r="F48" i="14" a="1"/>
  <c r="F48" i="14" s="1"/>
  <c r="B48" i="14"/>
  <c r="A48" i="14"/>
  <c r="AT46" i="14" a="1"/>
  <c r="AT46" i="14" s="1"/>
  <c r="AO46" i="1" s="1"/>
  <c r="AS46" i="14" a="1"/>
  <c r="AS46" i="14" s="1"/>
  <c r="N46" i="1" s="1"/>
  <c r="AR46" i="14" a="1"/>
  <c r="AR46" i="14" s="1"/>
  <c r="AQ46" i="14" a="1"/>
  <c r="AQ46" i="14" s="1"/>
  <c r="AP46" i="14" a="1"/>
  <c r="AP46" i="14" s="1"/>
  <c r="AO46" i="14" a="1"/>
  <c r="AO46" i="14" s="1"/>
  <c r="AN46" i="14" a="1"/>
  <c r="AN46" i="14" s="1"/>
  <c r="AM46" i="14" a="1"/>
  <c r="AM46" i="14" s="1"/>
  <c r="AL46" i="14" a="1"/>
  <c r="AL46" i="14" s="1"/>
  <c r="AK46" i="14" a="1"/>
  <c r="AK46" i="14" s="1"/>
  <c r="AJ46" i="14" a="1"/>
  <c r="AJ46" i="14" s="1"/>
  <c r="AI46" i="14" a="1"/>
  <c r="AI46" i="14" s="1"/>
  <c r="AD46" i="14" a="1"/>
  <c r="AD46" i="14" s="1"/>
  <c r="AC46" i="14" a="1"/>
  <c r="AC46" i="14" s="1"/>
  <c r="AB46" i="14" a="1"/>
  <c r="AB46" i="14" s="1"/>
  <c r="AA46" i="14" a="1"/>
  <c r="AA46" i="14" s="1"/>
  <c r="F46" i="14" a="1"/>
  <c r="F46" i="14" s="1"/>
  <c r="B46" i="14"/>
  <c r="A46" i="14"/>
  <c r="AT45" i="14" a="1"/>
  <c r="AT45" i="14" s="1"/>
  <c r="AO45" i="1" s="1"/>
  <c r="AS45" i="14" a="1"/>
  <c r="AS45" i="14" s="1"/>
  <c r="N45" i="1" s="1"/>
  <c r="AR45" i="14" a="1"/>
  <c r="AR45" i="14" s="1"/>
  <c r="AQ45" i="14" a="1"/>
  <c r="AQ45" i="14" s="1"/>
  <c r="AP45" i="14" a="1"/>
  <c r="AP45" i="14" s="1"/>
  <c r="AO45" i="14" a="1"/>
  <c r="AO45" i="14" s="1"/>
  <c r="AN45" i="14" a="1"/>
  <c r="AN45" i="14" s="1"/>
  <c r="AM45" i="14" a="1"/>
  <c r="AM45" i="14" s="1"/>
  <c r="AL45" i="14" a="1"/>
  <c r="AL45" i="14" s="1"/>
  <c r="AK45" i="14" a="1"/>
  <c r="AK45" i="14" s="1"/>
  <c r="AJ45" i="14" a="1"/>
  <c r="AJ45" i="14" s="1"/>
  <c r="AI45" i="14" a="1"/>
  <c r="AI45" i="14" s="1"/>
  <c r="AD45" i="14" a="1"/>
  <c r="AD45" i="14" s="1"/>
  <c r="AC45" i="14" a="1"/>
  <c r="AC45" i="14" s="1"/>
  <c r="AB45" i="14" a="1"/>
  <c r="AB45" i="14" s="1"/>
  <c r="AA45" i="14" a="1"/>
  <c r="AA45" i="14" s="1"/>
  <c r="F45" i="14" a="1"/>
  <c r="F45" i="14" s="1"/>
  <c r="B45" i="14"/>
  <c r="A45" i="14"/>
  <c r="AT44" i="14" a="1"/>
  <c r="AT44" i="14" s="1"/>
  <c r="AO44" i="1" s="1"/>
  <c r="AS44" i="14" a="1"/>
  <c r="AS44" i="14" s="1"/>
  <c r="N44" i="1" s="1"/>
  <c r="AR44" i="14" a="1"/>
  <c r="AR44" i="14" s="1"/>
  <c r="AQ44" i="14" a="1"/>
  <c r="AQ44" i="14" s="1"/>
  <c r="AP44" i="14" a="1"/>
  <c r="AP44" i="14" s="1"/>
  <c r="AO44" i="14" a="1"/>
  <c r="AO44" i="14" s="1"/>
  <c r="AN44" i="14" a="1"/>
  <c r="AN44" i="14" s="1"/>
  <c r="AM44" i="14" a="1"/>
  <c r="AM44" i="14" s="1"/>
  <c r="AL44" i="14" a="1"/>
  <c r="AL44" i="14" s="1"/>
  <c r="AK44" i="14" a="1"/>
  <c r="AK44" i="14" s="1"/>
  <c r="AJ44" i="14" a="1"/>
  <c r="AJ44" i="14" s="1"/>
  <c r="AI44" i="14" a="1"/>
  <c r="AI44" i="14" s="1"/>
  <c r="AD44" i="14" a="1"/>
  <c r="AD44" i="14" s="1"/>
  <c r="AC44" i="14" a="1"/>
  <c r="AC44" i="14" s="1"/>
  <c r="AB44" i="14" a="1"/>
  <c r="AB44" i="14" s="1"/>
  <c r="AA44" i="14" a="1"/>
  <c r="AA44" i="14" s="1"/>
  <c r="F44" i="14" a="1"/>
  <c r="F44" i="14" s="1"/>
  <c r="B44" i="14"/>
  <c r="A44" i="14"/>
  <c r="AT43" i="14" a="1"/>
  <c r="AT43" i="14" s="1"/>
  <c r="AO43" i="1" s="1"/>
  <c r="AS43" i="14" a="1"/>
  <c r="AS43" i="14" s="1"/>
  <c r="N43" i="1" s="1"/>
  <c r="AR43" i="14" a="1"/>
  <c r="AR43" i="14" s="1"/>
  <c r="AQ43" i="14" a="1"/>
  <c r="AQ43" i="14" s="1"/>
  <c r="AP43" i="14" a="1"/>
  <c r="AP43" i="14" s="1"/>
  <c r="AO43" i="14" a="1"/>
  <c r="AO43" i="14" s="1"/>
  <c r="AN43" i="14" a="1"/>
  <c r="AN43" i="14" s="1"/>
  <c r="AM43" i="14" a="1"/>
  <c r="AM43" i="14" s="1"/>
  <c r="AL43" i="14" a="1"/>
  <c r="AL43" i="14" s="1"/>
  <c r="AK43" i="14" a="1"/>
  <c r="AK43" i="14" s="1"/>
  <c r="AJ43" i="14" a="1"/>
  <c r="AJ43" i="14" s="1"/>
  <c r="AI43" i="14" a="1"/>
  <c r="AI43" i="14" s="1"/>
  <c r="AD43" i="14" a="1"/>
  <c r="AD43" i="14" s="1"/>
  <c r="AC43" i="14" a="1"/>
  <c r="AC43" i="14" s="1"/>
  <c r="AB43" i="14" a="1"/>
  <c r="AB43" i="14" s="1"/>
  <c r="AA43" i="14" a="1"/>
  <c r="AA43" i="14" s="1"/>
  <c r="F43" i="14" a="1"/>
  <c r="F43" i="14" s="1"/>
  <c r="B43" i="14"/>
  <c r="A43" i="14"/>
  <c r="AT42" i="14" a="1"/>
  <c r="AT42" i="14" s="1"/>
  <c r="AO42" i="1" s="1"/>
  <c r="AS42" i="14" a="1"/>
  <c r="AS42" i="14" s="1"/>
  <c r="N42" i="1" s="1"/>
  <c r="AR42" i="14" a="1"/>
  <c r="AR42" i="14" s="1"/>
  <c r="AQ42" i="14" a="1"/>
  <c r="AQ42" i="14" s="1"/>
  <c r="AP42" i="14" a="1"/>
  <c r="AP42" i="14" s="1"/>
  <c r="AO42" i="14" a="1"/>
  <c r="AO42" i="14" s="1"/>
  <c r="AN42" i="14" a="1"/>
  <c r="AN42" i="14" s="1"/>
  <c r="AM42" i="14" a="1"/>
  <c r="AM42" i="14" s="1"/>
  <c r="AL42" i="14" a="1"/>
  <c r="AL42" i="14" s="1"/>
  <c r="AK42" i="14" a="1"/>
  <c r="AK42" i="14" s="1"/>
  <c r="AJ42" i="14" a="1"/>
  <c r="AJ42" i="14" s="1"/>
  <c r="AI42" i="14" a="1"/>
  <c r="AI42" i="14" s="1"/>
  <c r="AD42" i="14" a="1"/>
  <c r="AD42" i="14" s="1"/>
  <c r="AC42" i="14" a="1"/>
  <c r="AC42" i="14" s="1"/>
  <c r="AB42" i="14" a="1"/>
  <c r="AB42" i="14" s="1"/>
  <c r="AA42" i="14" a="1"/>
  <c r="AA42" i="14" s="1"/>
  <c r="F42" i="14" a="1"/>
  <c r="F42" i="14" s="1"/>
  <c r="B42" i="14"/>
  <c r="A42" i="14"/>
  <c r="AT41" i="14" a="1"/>
  <c r="AT41" i="14" s="1"/>
  <c r="AO41" i="1" s="1"/>
  <c r="AS41" i="14" a="1"/>
  <c r="AS41" i="14" s="1"/>
  <c r="N41" i="1" s="1"/>
  <c r="AR41" i="14" a="1"/>
  <c r="AR41" i="14" s="1"/>
  <c r="AQ41" i="14" a="1"/>
  <c r="AQ41" i="14" s="1"/>
  <c r="AP41" i="14" a="1"/>
  <c r="AP41" i="14" s="1"/>
  <c r="AO41" i="14" a="1"/>
  <c r="AO41" i="14" s="1"/>
  <c r="AN41" i="14" a="1"/>
  <c r="AN41" i="14" s="1"/>
  <c r="AM41" i="14" a="1"/>
  <c r="AM41" i="14" s="1"/>
  <c r="AL41" i="14" a="1"/>
  <c r="AL41" i="14" s="1"/>
  <c r="AK41" i="14" a="1"/>
  <c r="AK41" i="14" s="1"/>
  <c r="AJ41" i="14" a="1"/>
  <c r="AJ41" i="14" s="1"/>
  <c r="AI41" i="14" a="1"/>
  <c r="AI41" i="14" s="1"/>
  <c r="AD41" i="14" a="1"/>
  <c r="AD41" i="14" s="1"/>
  <c r="AC41" i="14" a="1"/>
  <c r="AC41" i="14" s="1"/>
  <c r="AB41" i="14" a="1"/>
  <c r="AB41" i="14" s="1"/>
  <c r="AA41" i="14" a="1"/>
  <c r="AA41" i="14" s="1"/>
  <c r="F41" i="14" a="1"/>
  <c r="F41" i="14" s="1"/>
  <c r="B41" i="14"/>
  <c r="A41" i="14"/>
  <c r="AT40" i="14" a="1"/>
  <c r="AT40" i="14" s="1"/>
  <c r="AO40" i="1" s="1"/>
  <c r="AS40" i="14" a="1"/>
  <c r="AS40" i="14" s="1"/>
  <c r="N40" i="1" s="1"/>
  <c r="AR40" i="14" a="1"/>
  <c r="AR40" i="14" s="1"/>
  <c r="AQ40" i="14" a="1"/>
  <c r="AQ40" i="14" s="1"/>
  <c r="AP40" i="14" a="1"/>
  <c r="AP40" i="14" s="1"/>
  <c r="AO40" i="14" a="1"/>
  <c r="AO40" i="14" s="1"/>
  <c r="AN40" i="14" a="1"/>
  <c r="AN40" i="14" s="1"/>
  <c r="AM40" i="14" a="1"/>
  <c r="AM40" i="14" s="1"/>
  <c r="AL40" i="14" a="1"/>
  <c r="AL40" i="14" s="1"/>
  <c r="AK40" i="14" a="1"/>
  <c r="AK40" i="14" s="1"/>
  <c r="AJ40" i="14" a="1"/>
  <c r="AJ40" i="14" s="1"/>
  <c r="AI40" i="14" a="1"/>
  <c r="AI40" i="14" s="1"/>
  <c r="AD40" i="14" a="1"/>
  <c r="AD40" i="14" s="1"/>
  <c r="AC40" i="14" a="1"/>
  <c r="AC40" i="14" s="1"/>
  <c r="AB40" i="14" a="1"/>
  <c r="AB40" i="14" s="1"/>
  <c r="AA40" i="14" a="1"/>
  <c r="AA40" i="14" s="1"/>
  <c r="F40" i="14" a="1"/>
  <c r="F40" i="14" s="1"/>
  <c r="B40" i="14"/>
  <c r="A40" i="14"/>
  <c r="AT39" i="14" a="1"/>
  <c r="AT39" i="14" s="1"/>
  <c r="AO39" i="1" s="1"/>
  <c r="AS39" i="14" a="1"/>
  <c r="AS39" i="14" s="1"/>
  <c r="N39" i="1" s="1"/>
  <c r="AR39" i="14" a="1"/>
  <c r="AR39" i="14" s="1"/>
  <c r="AQ39" i="14" a="1"/>
  <c r="AQ39" i="14" s="1"/>
  <c r="AP39" i="14" a="1"/>
  <c r="AP39" i="14" s="1"/>
  <c r="AO39" i="14" a="1"/>
  <c r="AO39" i="14" s="1"/>
  <c r="AN39" i="14" a="1"/>
  <c r="AN39" i="14" s="1"/>
  <c r="AM39" i="14" a="1"/>
  <c r="AM39" i="14" s="1"/>
  <c r="AL39" i="14" a="1"/>
  <c r="AL39" i="14" s="1"/>
  <c r="AK39" i="14" a="1"/>
  <c r="AK39" i="14" s="1"/>
  <c r="AJ39" i="14" a="1"/>
  <c r="AJ39" i="14" s="1"/>
  <c r="AI39" i="14" a="1"/>
  <c r="AI39" i="14" s="1"/>
  <c r="AD39" i="14" a="1"/>
  <c r="AD39" i="14" s="1"/>
  <c r="AC39" i="14" a="1"/>
  <c r="AC39" i="14" s="1"/>
  <c r="AB39" i="14" a="1"/>
  <c r="AB39" i="14" s="1"/>
  <c r="AA39" i="14" a="1"/>
  <c r="AA39" i="14" s="1"/>
  <c r="F39" i="14" a="1"/>
  <c r="F39" i="14" s="1"/>
  <c r="B39" i="14"/>
  <c r="A39" i="14"/>
  <c r="AT38" i="14" a="1"/>
  <c r="AT38" i="14" s="1"/>
  <c r="AO38" i="1" s="1"/>
  <c r="AS38" i="14" a="1"/>
  <c r="AS38" i="14" s="1"/>
  <c r="N38" i="1" s="1"/>
  <c r="AR38" i="14" a="1"/>
  <c r="AR38" i="14" s="1"/>
  <c r="AQ38" i="14" a="1"/>
  <c r="AQ38" i="14" s="1"/>
  <c r="AP38" i="14" a="1"/>
  <c r="AP38" i="14" s="1"/>
  <c r="AO38" i="14" a="1"/>
  <c r="AO38" i="14" s="1"/>
  <c r="AN38" i="14" a="1"/>
  <c r="AN38" i="14" s="1"/>
  <c r="AM38" i="14" a="1"/>
  <c r="AM38" i="14" s="1"/>
  <c r="AL38" i="14" a="1"/>
  <c r="AL38" i="14" s="1"/>
  <c r="AK38" i="14" a="1"/>
  <c r="AK38" i="14" s="1"/>
  <c r="AJ38" i="14" a="1"/>
  <c r="AJ38" i="14" s="1"/>
  <c r="AI38" i="14" a="1"/>
  <c r="AI38" i="14" s="1"/>
  <c r="AD38" i="14" a="1"/>
  <c r="AD38" i="14" s="1"/>
  <c r="AC38" i="14" a="1"/>
  <c r="AC38" i="14" s="1"/>
  <c r="AB38" i="14" a="1"/>
  <c r="AB38" i="14" s="1"/>
  <c r="AA38" i="14" a="1"/>
  <c r="AA38" i="14" s="1"/>
  <c r="F38" i="14" a="1"/>
  <c r="F38" i="14" s="1"/>
  <c r="B38" i="14"/>
  <c r="A38" i="14"/>
  <c r="AT37" i="14" a="1"/>
  <c r="AT37" i="14" s="1"/>
  <c r="AO37" i="1" s="1"/>
  <c r="AS37" i="14" a="1"/>
  <c r="AS37" i="14" s="1"/>
  <c r="N37" i="1" s="1"/>
  <c r="AR37" i="14" a="1"/>
  <c r="AR37" i="14" s="1"/>
  <c r="AQ37" i="14" a="1"/>
  <c r="AQ37" i="14" s="1"/>
  <c r="AP37" i="14" a="1"/>
  <c r="AP37" i="14" s="1"/>
  <c r="AO37" i="14" a="1"/>
  <c r="AO37" i="14" s="1"/>
  <c r="AN37" i="14" a="1"/>
  <c r="AN37" i="14" s="1"/>
  <c r="AM37" i="14" a="1"/>
  <c r="AM37" i="14" s="1"/>
  <c r="AL37" i="14" a="1"/>
  <c r="AL37" i="14" s="1"/>
  <c r="AK37" i="14" a="1"/>
  <c r="AK37" i="14" s="1"/>
  <c r="AJ37" i="14" a="1"/>
  <c r="AJ37" i="14" s="1"/>
  <c r="AI37" i="14" a="1"/>
  <c r="AI37" i="14" s="1"/>
  <c r="AD37" i="14" a="1"/>
  <c r="AD37" i="14" s="1"/>
  <c r="AC37" i="14" a="1"/>
  <c r="AC37" i="14" s="1"/>
  <c r="AB37" i="14" a="1"/>
  <c r="AB37" i="14" s="1"/>
  <c r="AA37" i="14" a="1"/>
  <c r="AA37" i="14" s="1"/>
  <c r="F37" i="14" a="1"/>
  <c r="F37" i="14" s="1"/>
  <c r="B37" i="14"/>
  <c r="A37" i="14"/>
  <c r="AT36" i="14" a="1"/>
  <c r="AT36" i="14" s="1"/>
  <c r="AO36" i="1" s="1"/>
  <c r="AS36" i="14" a="1"/>
  <c r="AS36" i="14" s="1"/>
  <c r="N36" i="1" s="1"/>
  <c r="AR36" i="14" a="1"/>
  <c r="AR36" i="14" s="1"/>
  <c r="AQ36" i="14" a="1"/>
  <c r="AQ36" i="14" s="1"/>
  <c r="AP36" i="14" a="1"/>
  <c r="AP36" i="14" s="1"/>
  <c r="AO36" i="14" a="1"/>
  <c r="AO36" i="14" s="1"/>
  <c r="AN36" i="14" a="1"/>
  <c r="AN36" i="14" s="1"/>
  <c r="AM36" i="14" a="1"/>
  <c r="AM36" i="14" s="1"/>
  <c r="AL36" i="14" a="1"/>
  <c r="AL36" i="14" s="1"/>
  <c r="AK36" i="14" a="1"/>
  <c r="AK36" i="14" s="1"/>
  <c r="AJ36" i="14" a="1"/>
  <c r="AJ36" i="14" s="1"/>
  <c r="AI36" i="14" a="1"/>
  <c r="AI36" i="14" s="1"/>
  <c r="AD36" i="14" a="1"/>
  <c r="AD36" i="14" s="1"/>
  <c r="AC36" i="14" a="1"/>
  <c r="AC36" i="14" s="1"/>
  <c r="AB36" i="14" a="1"/>
  <c r="AB36" i="14" s="1"/>
  <c r="AA36" i="14" a="1"/>
  <c r="AA36" i="14" s="1"/>
  <c r="F36" i="14" a="1"/>
  <c r="F36" i="14" s="1"/>
  <c r="B36" i="14"/>
  <c r="A36" i="14"/>
  <c r="AT35" i="14" a="1"/>
  <c r="AT35" i="14" s="1"/>
  <c r="AO35" i="1" s="1"/>
  <c r="AS35" i="14" a="1"/>
  <c r="AS35" i="14" s="1"/>
  <c r="N35" i="1" s="1"/>
  <c r="AR35" i="14" a="1"/>
  <c r="AR35" i="14" s="1"/>
  <c r="AQ35" i="14" a="1"/>
  <c r="AQ35" i="14" s="1"/>
  <c r="AP35" i="14" a="1"/>
  <c r="AP35" i="14" s="1"/>
  <c r="AO35" i="14" a="1"/>
  <c r="AO35" i="14" s="1"/>
  <c r="AN35" i="14" a="1"/>
  <c r="AN35" i="14" s="1"/>
  <c r="AM35" i="14" a="1"/>
  <c r="AM35" i="14" s="1"/>
  <c r="AL35" i="14" a="1"/>
  <c r="AL35" i="14" s="1"/>
  <c r="AK35" i="14" a="1"/>
  <c r="AK35" i="14" s="1"/>
  <c r="AJ35" i="14" a="1"/>
  <c r="AJ35" i="14" s="1"/>
  <c r="AI35" i="14" a="1"/>
  <c r="AI35" i="14" s="1"/>
  <c r="AD35" i="14" a="1"/>
  <c r="AD35" i="14" s="1"/>
  <c r="AC35" i="14" a="1"/>
  <c r="AC35" i="14" s="1"/>
  <c r="AB35" i="14" a="1"/>
  <c r="AB35" i="14" s="1"/>
  <c r="AA35" i="14" a="1"/>
  <c r="AA35" i="14" s="1"/>
  <c r="F35" i="14" a="1"/>
  <c r="F35" i="14" s="1"/>
  <c r="B35" i="14"/>
  <c r="A35" i="14"/>
  <c r="AT34" i="14" a="1"/>
  <c r="AT34" i="14" s="1"/>
  <c r="AO34" i="1" s="1"/>
  <c r="AS34" i="14" a="1"/>
  <c r="AS34" i="14" s="1"/>
  <c r="N34" i="1" s="1"/>
  <c r="AR34" i="14" a="1"/>
  <c r="AR34" i="14" s="1"/>
  <c r="AQ34" i="14" a="1"/>
  <c r="AQ34" i="14" s="1"/>
  <c r="AP34" i="14" a="1"/>
  <c r="AP34" i="14" s="1"/>
  <c r="AO34" i="14" a="1"/>
  <c r="AO34" i="14" s="1"/>
  <c r="AN34" i="14" a="1"/>
  <c r="AN34" i="14" s="1"/>
  <c r="AM34" i="14" a="1"/>
  <c r="AM34" i="14" s="1"/>
  <c r="AL34" i="14" a="1"/>
  <c r="AL34" i="14" s="1"/>
  <c r="AK34" i="14" a="1"/>
  <c r="AK34" i="14" s="1"/>
  <c r="AJ34" i="14" a="1"/>
  <c r="AJ34" i="14" s="1"/>
  <c r="AI34" i="14" a="1"/>
  <c r="AI34" i="14" s="1"/>
  <c r="AD34" i="14" a="1"/>
  <c r="AD34" i="14" s="1"/>
  <c r="AC34" i="14" a="1"/>
  <c r="AC34" i="14" s="1"/>
  <c r="AB34" i="14" a="1"/>
  <c r="AB34" i="14" s="1"/>
  <c r="AA34" i="14" a="1"/>
  <c r="AA34" i="14" s="1"/>
  <c r="F34" i="14" a="1"/>
  <c r="F34" i="14" s="1"/>
  <c r="B34" i="14"/>
  <c r="A34" i="14"/>
  <c r="AT33" i="14" a="1"/>
  <c r="AT33" i="14" s="1"/>
  <c r="AO33" i="1" s="1"/>
  <c r="AS33" i="14" a="1"/>
  <c r="AS33" i="14" s="1"/>
  <c r="N33" i="1" s="1"/>
  <c r="AR33" i="14" a="1"/>
  <c r="AR33" i="14" s="1"/>
  <c r="AQ33" i="14" a="1"/>
  <c r="AQ33" i="14" s="1"/>
  <c r="AP33" i="14" a="1"/>
  <c r="AP33" i="14" s="1"/>
  <c r="AO33" i="14" a="1"/>
  <c r="AO33" i="14" s="1"/>
  <c r="AN33" i="14" a="1"/>
  <c r="AN33" i="14" s="1"/>
  <c r="AM33" i="14" a="1"/>
  <c r="AM33" i="14" s="1"/>
  <c r="AL33" i="14" a="1"/>
  <c r="AL33" i="14" s="1"/>
  <c r="AK33" i="14" a="1"/>
  <c r="AK33" i="14" s="1"/>
  <c r="AJ33" i="14" a="1"/>
  <c r="AJ33" i="14" s="1"/>
  <c r="AI33" i="14" a="1"/>
  <c r="AI33" i="14" s="1"/>
  <c r="AD33" i="14" a="1"/>
  <c r="AD33" i="14" s="1"/>
  <c r="AC33" i="14" a="1"/>
  <c r="AC33" i="14" s="1"/>
  <c r="AB33" i="14" a="1"/>
  <c r="AB33" i="14" s="1"/>
  <c r="AA33" i="14" a="1"/>
  <c r="AA33" i="14" s="1"/>
  <c r="F33" i="14" a="1"/>
  <c r="F33" i="14" s="1"/>
  <c r="B33" i="14"/>
  <c r="A33" i="14"/>
  <c r="AT32" i="14" a="1"/>
  <c r="AT32" i="14" s="1"/>
  <c r="AO32" i="1" s="1"/>
  <c r="AS32" i="14" a="1"/>
  <c r="AS32" i="14" s="1"/>
  <c r="N32" i="1" s="1"/>
  <c r="AR32" i="14" a="1"/>
  <c r="AR32" i="14" s="1"/>
  <c r="AQ32" i="14" a="1"/>
  <c r="AQ32" i="14" s="1"/>
  <c r="AP32" i="14" a="1"/>
  <c r="AP32" i="14" s="1"/>
  <c r="AO32" i="14" a="1"/>
  <c r="AO32" i="14" s="1"/>
  <c r="AN32" i="14" a="1"/>
  <c r="AN32" i="14" s="1"/>
  <c r="AM32" i="14" a="1"/>
  <c r="AM32" i="14" s="1"/>
  <c r="AL32" i="14" a="1"/>
  <c r="AL32" i="14" s="1"/>
  <c r="AK32" i="14" a="1"/>
  <c r="AK32" i="14" s="1"/>
  <c r="AJ32" i="14" a="1"/>
  <c r="AJ32" i="14" s="1"/>
  <c r="AI32" i="14" a="1"/>
  <c r="AI32" i="14" s="1"/>
  <c r="AD32" i="14" a="1"/>
  <c r="AD32" i="14" s="1"/>
  <c r="AC32" i="14" a="1"/>
  <c r="AC32" i="14" s="1"/>
  <c r="AB32" i="14" a="1"/>
  <c r="AB32" i="14" s="1"/>
  <c r="AA32" i="14" a="1"/>
  <c r="AA32" i="14" s="1"/>
  <c r="F32" i="14" a="1"/>
  <c r="F32" i="14" s="1"/>
  <c r="B32" i="14"/>
  <c r="A32" i="14"/>
  <c r="AT31" i="14" a="1"/>
  <c r="AT31" i="14" s="1"/>
  <c r="AO31" i="1" s="1"/>
  <c r="AS31" i="14" a="1"/>
  <c r="AS31" i="14" s="1"/>
  <c r="N31" i="1" s="1"/>
  <c r="AR31" i="14" a="1"/>
  <c r="AR31" i="14" s="1"/>
  <c r="AQ31" i="14" a="1"/>
  <c r="AQ31" i="14" s="1"/>
  <c r="AP31" i="14" a="1"/>
  <c r="AP31" i="14" s="1"/>
  <c r="AO31" i="14" a="1"/>
  <c r="AO31" i="14" s="1"/>
  <c r="AN31" i="14" a="1"/>
  <c r="AN31" i="14" s="1"/>
  <c r="AM31" i="14" a="1"/>
  <c r="AM31" i="14" s="1"/>
  <c r="AL31" i="14" a="1"/>
  <c r="AL31" i="14" s="1"/>
  <c r="AK31" i="14" a="1"/>
  <c r="AK31" i="14" s="1"/>
  <c r="AJ31" i="14" a="1"/>
  <c r="AJ31" i="14" s="1"/>
  <c r="AI31" i="14" a="1"/>
  <c r="AI31" i="14" s="1"/>
  <c r="AD31" i="14" a="1"/>
  <c r="AD31" i="14" s="1"/>
  <c r="AC31" i="14" a="1"/>
  <c r="AC31" i="14" s="1"/>
  <c r="AB31" i="14" a="1"/>
  <c r="AB31" i="14" s="1"/>
  <c r="AA31" i="14" a="1"/>
  <c r="AA31" i="14" s="1"/>
  <c r="F31" i="14" a="1"/>
  <c r="F31" i="14" s="1"/>
  <c r="B31" i="14"/>
  <c r="A31" i="14"/>
  <c r="AT30" i="14" a="1"/>
  <c r="AT30" i="14" s="1"/>
  <c r="AO30" i="1" s="1"/>
  <c r="AS30" i="14" a="1"/>
  <c r="AS30" i="14" s="1"/>
  <c r="N30" i="1" s="1"/>
  <c r="P30" i="1" s="1"/>
  <c r="AR30" i="14" a="1"/>
  <c r="AR30" i="14" s="1"/>
  <c r="AQ30" i="14" a="1"/>
  <c r="AQ30" i="14" s="1"/>
  <c r="AP30" i="14" a="1"/>
  <c r="AP30" i="14" s="1"/>
  <c r="AO30" i="14" a="1"/>
  <c r="AO30" i="14" s="1"/>
  <c r="AN30" i="14" a="1"/>
  <c r="AN30" i="14" s="1"/>
  <c r="AM30" i="14" a="1"/>
  <c r="AM30" i="14" s="1"/>
  <c r="AL30" i="14" a="1"/>
  <c r="AL30" i="14" s="1"/>
  <c r="AK30" i="14" a="1"/>
  <c r="AK30" i="14" s="1"/>
  <c r="AJ30" i="14" a="1"/>
  <c r="AJ30" i="14" s="1"/>
  <c r="AI30" i="14" a="1"/>
  <c r="AI30" i="14" s="1"/>
  <c r="AD30" i="14" a="1"/>
  <c r="AD30" i="14" s="1"/>
  <c r="AC30" i="14" a="1"/>
  <c r="AC30" i="14" s="1"/>
  <c r="AB30" i="14" a="1"/>
  <c r="AB30" i="14" s="1"/>
  <c r="AA30" i="14" a="1"/>
  <c r="AA30" i="14" s="1"/>
  <c r="F30" i="14" a="1"/>
  <c r="F30" i="14" s="1"/>
  <c r="B30" i="14"/>
  <c r="A30" i="14"/>
  <c r="AT29" i="14" a="1"/>
  <c r="AT29" i="14" s="1"/>
  <c r="AO29" i="1" s="1"/>
  <c r="AS29" i="14" a="1"/>
  <c r="AS29" i="14" s="1"/>
  <c r="N29" i="1" s="1"/>
  <c r="P29" i="1" s="1"/>
  <c r="AR29" i="14" a="1"/>
  <c r="AR29" i="14" s="1"/>
  <c r="AQ29" i="14" a="1"/>
  <c r="AQ29" i="14" s="1"/>
  <c r="AP29" i="14" a="1"/>
  <c r="AP29" i="14" s="1"/>
  <c r="AO29" i="14" a="1"/>
  <c r="AO29" i="14" s="1"/>
  <c r="AN29" i="14" a="1"/>
  <c r="AN29" i="14" s="1"/>
  <c r="AM29" i="14" a="1"/>
  <c r="AM29" i="14" s="1"/>
  <c r="AL29" i="14" a="1"/>
  <c r="AL29" i="14" s="1"/>
  <c r="AK29" i="14" a="1"/>
  <c r="AK29" i="14" s="1"/>
  <c r="AJ29" i="14" a="1"/>
  <c r="AJ29" i="14" s="1"/>
  <c r="AI29" i="14" a="1"/>
  <c r="AI29" i="14" s="1"/>
  <c r="AD29" i="14" a="1"/>
  <c r="AD29" i="14" s="1"/>
  <c r="AC29" i="14" a="1"/>
  <c r="AC29" i="14" s="1"/>
  <c r="AB29" i="14" a="1"/>
  <c r="AB29" i="14" s="1"/>
  <c r="AA29" i="14" a="1"/>
  <c r="AA29" i="14" s="1"/>
  <c r="F29" i="14" a="1"/>
  <c r="F29" i="14" s="1"/>
  <c r="B29" i="14"/>
  <c r="A29" i="14"/>
  <c r="AT28" i="14" a="1"/>
  <c r="AT28" i="14" s="1"/>
  <c r="AO28" i="1" s="1"/>
  <c r="AS28" i="14" a="1"/>
  <c r="AS28" i="14" s="1"/>
  <c r="N28" i="1" s="1"/>
  <c r="P28" i="1" s="1"/>
  <c r="AR28" i="14" a="1"/>
  <c r="AR28" i="14" s="1"/>
  <c r="AQ28" i="14" a="1"/>
  <c r="AQ28" i="14" s="1"/>
  <c r="AP28" i="14" a="1"/>
  <c r="AP28" i="14" s="1"/>
  <c r="AO28" i="14" a="1"/>
  <c r="AO28" i="14" s="1"/>
  <c r="AN28" i="14" a="1"/>
  <c r="AN28" i="14" s="1"/>
  <c r="AM28" i="14" a="1"/>
  <c r="AM28" i="14" s="1"/>
  <c r="AL28" i="14" a="1"/>
  <c r="AL28" i="14" s="1"/>
  <c r="AK28" i="14" a="1"/>
  <c r="AK28" i="14" s="1"/>
  <c r="AJ28" i="14" a="1"/>
  <c r="AJ28" i="14" s="1"/>
  <c r="AI28" i="14" a="1"/>
  <c r="AI28" i="14" s="1"/>
  <c r="AD28" i="14" a="1"/>
  <c r="AD28" i="14" s="1"/>
  <c r="AC28" i="14" a="1"/>
  <c r="AC28" i="14" s="1"/>
  <c r="AB28" i="14" a="1"/>
  <c r="AB28" i="14" s="1"/>
  <c r="AA28" i="14" a="1"/>
  <c r="AA28" i="14" s="1"/>
  <c r="F28" i="14" a="1"/>
  <c r="F28" i="14" s="1"/>
  <c r="B28" i="14"/>
  <c r="A28" i="14"/>
  <c r="AT27" i="14" a="1"/>
  <c r="AT27" i="14" s="1"/>
  <c r="AO27" i="1" s="1"/>
  <c r="AS27" i="14" a="1"/>
  <c r="AS27" i="14" s="1"/>
  <c r="N27" i="1" s="1"/>
  <c r="P27" i="1" s="1"/>
  <c r="AR27" i="14" a="1"/>
  <c r="AR27" i="14" s="1"/>
  <c r="AQ27" i="14" a="1"/>
  <c r="AQ27" i="14" s="1"/>
  <c r="AP27" i="14" a="1"/>
  <c r="AP27" i="14" s="1"/>
  <c r="AO27" i="14" a="1"/>
  <c r="AO27" i="14" s="1"/>
  <c r="AN27" i="14" a="1"/>
  <c r="AN27" i="14" s="1"/>
  <c r="AM27" i="14" a="1"/>
  <c r="AM27" i="14" s="1"/>
  <c r="AL27" i="14" a="1"/>
  <c r="AL27" i="14" s="1"/>
  <c r="AK27" i="14" a="1"/>
  <c r="AK27" i="14" s="1"/>
  <c r="AJ27" i="14" a="1"/>
  <c r="AJ27" i="14" s="1"/>
  <c r="AI27" i="14" a="1"/>
  <c r="AI27" i="14" s="1"/>
  <c r="AD27" i="14" a="1"/>
  <c r="AD27" i="14" s="1"/>
  <c r="AC27" i="14" a="1"/>
  <c r="AC27" i="14" s="1"/>
  <c r="AB27" i="14" a="1"/>
  <c r="AB27" i="14" s="1"/>
  <c r="AA27" i="14" a="1"/>
  <c r="AA27" i="14" s="1"/>
  <c r="F27" i="14" a="1"/>
  <c r="F27" i="14" s="1"/>
  <c r="B27" i="14"/>
  <c r="A27" i="14"/>
  <c r="AT26" i="14" a="1"/>
  <c r="AT26" i="14" s="1"/>
  <c r="AO26" i="1" s="1"/>
  <c r="AS26" i="14" a="1"/>
  <c r="AS26" i="14" s="1"/>
  <c r="N26" i="1" s="1"/>
  <c r="P26" i="1" s="1"/>
  <c r="AR26" i="14" a="1"/>
  <c r="AR26" i="14" s="1"/>
  <c r="AQ26" i="14" a="1"/>
  <c r="AQ26" i="14" s="1"/>
  <c r="AP26" i="14" a="1"/>
  <c r="AP26" i="14" s="1"/>
  <c r="AO26" i="14" a="1"/>
  <c r="AO26" i="14" s="1"/>
  <c r="AN26" i="14" a="1"/>
  <c r="AN26" i="14" s="1"/>
  <c r="AM26" i="14" a="1"/>
  <c r="AM26" i="14" s="1"/>
  <c r="AL26" i="14" a="1"/>
  <c r="AL26" i="14" s="1"/>
  <c r="AK26" i="14" a="1"/>
  <c r="AK26" i="14" s="1"/>
  <c r="AJ26" i="14" a="1"/>
  <c r="AJ26" i="14" s="1"/>
  <c r="AI26" i="14" a="1"/>
  <c r="AI26" i="14" s="1"/>
  <c r="AD26" i="14" a="1"/>
  <c r="AD26" i="14" s="1"/>
  <c r="AC26" i="14" a="1"/>
  <c r="AC26" i="14" s="1"/>
  <c r="AB26" i="14" a="1"/>
  <c r="AB26" i="14" s="1"/>
  <c r="AA26" i="14" a="1"/>
  <c r="AA26" i="14" s="1"/>
  <c r="F26" i="14" a="1"/>
  <c r="F26" i="14" s="1"/>
  <c r="B26" i="14"/>
  <c r="A26" i="14"/>
  <c r="AT25" i="14" a="1"/>
  <c r="AT25" i="14" s="1"/>
  <c r="AO25" i="1" s="1"/>
  <c r="AS25" i="14" a="1"/>
  <c r="AS25" i="14" s="1"/>
  <c r="N25" i="1" s="1"/>
  <c r="P25" i="1" s="1"/>
  <c r="AR25" i="14" a="1"/>
  <c r="AR25" i="14" s="1"/>
  <c r="AQ25" i="14" a="1"/>
  <c r="AQ25" i="14" s="1"/>
  <c r="AP25" i="14" a="1"/>
  <c r="AP25" i="14" s="1"/>
  <c r="AO25" i="14" a="1"/>
  <c r="AO25" i="14" s="1"/>
  <c r="AN25" i="14" a="1"/>
  <c r="AN25" i="14" s="1"/>
  <c r="AM25" i="14" a="1"/>
  <c r="AM25" i="14" s="1"/>
  <c r="AL25" i="14" a="1"/>
  <c r="AL25" i="14" s="1"/>
  <c r="AK25" i="14" a="1"/>
  <c r="AK25" i="14" s="1"/>
  <c r="AJ25" i="14" a="1"/>
  <c r="AJ25" i="14" s="1"/>
  <c r="AI25" i="14" a="1"/>
  <c r="AI25" i="14" s="1"/>
  <c r="AD25" i="14" a="1"/>
  <c r="AD25" i="14" s="1"/>
  <c r="AC25" i="14" a="1"/>
  <c r="AC25" i="14" s="1"/>
  <c r="AB25" i="14" a="1"/>
  <c r="AB25" i="14" s="1"/>
  <c r="AA25" i="14" a="1"/>
  <c r="AA25" i="14" s="1"/>
  <c r="F25" i="14" a="1"/>
  <c r="F25" i="14" s="1"/>
  <c r="B25" i="14"/>
  <c r="A25" i="14"/>
  <c r="AT24" i="14" a="1"/>
  <c r="AT24" i="14" s="1"/>
  <c r="AO24" i="1" s="1"/>
  <c r="AS24" i="14" a="1"/>
  <c r="AS24" i="14" s="1"/>
  <c r="N24" i="1" s="1"/>
  <c r="AR24" i="14" a="1"/>
  <c r="AR24" i="14" s="1"/>
  <c r="AQ24" i="14" a="1"/>
  <c r="AQ24" i="14" s="1"/>
  <c r="AP24" i="14" a="1"/>
  <c r="AP24" i="14" s="1"/>
  <c r="AO24" i="14" a="1"/>
  <c r="AO24" i="14" s="1"/>
  <c r="AN24" i="14" a="1"/>
  <c r="AN24" i="14" s="1"/>
  <c r="AM24" i="14" a="1"/>
  <c r="AM24" i="14" s="1"/>
  <c r="AL24" i="14" a="1"/>
  <c r="AL24" i="14" s="1"/>
  <c r="AK24" i="14" a="1"/>
  <c r="AK24" i="14" s="1"/>
  <c r="AJ24" i="14" a="1"/>
  <c r="AJ24" i="14" s="1"/>
  <c r="AI24" i="14" a="1"/>
  <c r="AI24" i="14" s="1"/>
  <c r="AD24" i="14" a="1"/>
  <c r="AD24" i="14" s="1"/>
  <c r="AC24" i="14" a="1"/>
  <c r="AC24" i="14" s="1"/>
  <c r="AB24" i="14" a="1"/>
  <c r="AB24" i="14" s="1"/>
  <c r="AA24" i="14" a="1"/>
  <c r="AA24" i="14" s="1"/>
  <c r="B24" i="14"/>
  <c r="A24" i="14"/>
  <c r="AT23" i="14" a="1"/>
  <c r="AT23" i="14" s="1"/>
  <c r="AO23" i="1" s="1"/>
  <c r="AS23" i="14" a="1"/>
  <c r="AS23" i="14" s="1"/>
  <c r="N23" i="1" s="1"/>
  <c r="AR23" i="14" a="1"/>
  <c r="AR23" i="14" s="1"/>
  <c r="AQ23" i="14" a="1"/>
  <c r="AQ23" i="14" s="1"/>
  <c r="AP23" i="14" a="1"/>
  <c r="AP23" i="14" s="1"/>
  <c r="AO23" i="14" a="1"/>
  <c r="AO23" i="14" s="1"/>
  <c r="AN23" i="14" a="1"/>
  <c r="AN23" i="14" s="1"/>
  <c r="AM23" i="14" a="1"/>
  <c r="AM23" i="14" s="1"/>
  <c r="AL23" i="14" a="1"/>
  <c r="AL23" i="14" s="1"/>
  <c r="AK23" i="14" a="1"/>
  <c r="AK23" i="14" s="1"/>
  <c r="AJ23" i="14" a="1"/>
  <c r="AJ23" i="14" s="1"/>
  <c r="AI23" i="14" a="1"/>
  <c r="AI23" i="14" s="1"/>
  <c r="AD23" i="14" a="1"/>
  <c r="AD23" i="14" s="1"/>
  <c r="AC23" i="14" a="1"/>
  <c r="AC23" i="14" s="1"/>
  <c r="AB23" i="14" a="1"/>
  <c r="AB23" i="14" s="1"/>
  <c r="AA23" i="14" a="1"/>
  <c r="AA23" i="14" s="1"/>
  <c r="F23" i="14" a="1"/>
  <c r="F23" i="14" s="1"/>
  <c r="B23" i="14"/>
  <c r="A23" i="14"/>
  <c r="AT22" i="14" a="1"/>
  <c r="AT22" i="14" s="1"/>
  <c r="AO22" i="1" s="1"/>
  <c r="AS22" i="14" a="1"/>
  <c r="AS22" i="14" s="1"/>
  <c r="N22" i="1" s="1"/>
  <c r="AR22" i="14" a="1"/>
  <c r="AR22" i="14" s="1"/>
  <c r="AQ22" i="14" a="1"/>
  <c r="AQ22" i="14" s="1"/>
  <c r="AP22" i="14" a="1"/>
  <c r="AP22" i="14" s="1"/>
  <c r="AO22" i="14" a="1"/>
  <c r="AO22" i="14" s="1"/>
  <c r="AN22" i="14" a="1"/>
  <c r="AN22" i="14" s="1"/>
  <c r="AM22" i="14" a="1"/>
  <c r="AM22" i="14" s="1"/>
  <c r="AL22" i="14" a="1"/>
  <c r="AL22" i="14" s="1"/>
  <c r="AK22" i="14" a="1"/>
  <c r="AK22" i="14" s="1"/>
  <c r="AJ22" i="14" a="1"/>
  <c r="AJ22" i="14" s="1"/>
  <c r="AI22" i="14" a="1"/>
  <c r="AI22" i="14" s="1"/>
  <c r="AD22" i="14" a="1"/>
  <c r="AD22" i="14" s="1"/>
  <c r="AC22" i="14" a="1"/>
  <c r="AC22" i="14" s="1"/>
  <c r="AB22" i="14" a="1"/>
  <c r="AB22" i="14" s="1"/>
  <c r="AA22" i="14" a="1"/>
  <c r="AA22" i="14" s="1"/>
  <c r="F22" i="14" a="1"/>
  <c r="F22" i="14" s="1"/>
  <c r="B22" i="14"/>
  <c r="A22" i="14"/>
  <c r="AT21" i="14" a="1"/>
  <c r="AT21" i="14" s="1"/>
  <c r="AO21" i="1" s="1"/>
  <c r="AS21" i="14" a="1"/>
  <c r="AS21" i="14" s="1"/>
  <c r="N21" i="1" s="1"/>
  <c r="AR21" i="14" a="1"/>
  <c r="AR21" i="14" s="1"/>
  <c r="AQ21" i="14" a="1"/>
  <c r="AQ21" i="14" s="1"/>
  <c r="AP21" i="14" a="1"/>
  <c r="AP21" i="14" s="1"/>
  <c r="AO21" i="14" a="1"/>
  <c r="AO21" i="14" s="1"/>
  <c r="AN21" i="14" a="1"/>
  <c r="AN21" i="14" s="1"/>
  <c r="AM21" i="14" a="1"/>
  <c r="AM21" i="14" s="1"/>
  <c r="AL21" i="14" a="1"/>
  <c r="AL21" i="14" s="1"/>
  <c r="AK21" i="14" a="1"/>
  <c r="AK21" i="14" s="1"/>
  <c r="AJ21" i="14" a="1"/>
  <c r="AJ21" i="14" s="1"/>
  <c r="AI21" i="14" a="1"/>
  <c r="AI21" i="14" s="1"/>
  <c r="AD21" i="14" a="1"/>
  <c r="AD21" i="14" s="1"/>
  <c r="AC21" i="14" a="1"/>
  <c r="AC21" i="14" s="1"/>
  <c r="AB21" i="14" a="1"/>
  <c r="AB21" i="14" s="1"/>
  <c r="AA21" i="14" a="1"/>
  <c r="AA21" i="14" s="1"/>
  <c r="F21" i="14" a="1"/>
  <c r="F21" i="14" s="1"/>
  <c r="B21" i="14"/>
  <c r="A21" i="14"/>
  <c r="AT20" i="14" a="1"/>
  <c r="AT20" i="14" s="1"/>
  <c r="AO20" i="1" s="1"/>
  <c r="AS20" i="14" a="1"/>
  <c r="AS20" i="14" s="1"/>
  <c r="N20" i="1" s="1"/>
  <c r="AR20" i="14" a="1"/>
  <c r="AR20" i="14" s="1"/>
  <c r="AQ20" i="14" a="1"/>
  <c r="AQ20" i="14" s="1"/>
  <c r="AM20" i="14" s="1" a="1"/>
  <c r="AM20" i="14" s="1"/>
  <c r="AP20" i="14" a="1"/>
  <c r="AP20" i="14" s="1"/>
  <c r="AO20" i="14" a="1"/>
  <c r="AO20" i="14" s="1"/>
  <c r="AN20" i="14" a="1"/>
  <c r="AN20" i="14" s="1"/>
  <c r="AL20" i="14" a="1"/>
  <c r="AL20" i="14" s="1"/>
  <c r="AK20" i="14" a="1"/>
  <c r="AK20" i="14" s="1"/>
  <c r="AJ20" i="14" a="1"/>
  <c r="AJ20" i="14" s="1"/>
  <c r="AI20" i="14" a="1"/>
  <c r="AI20" i="14" s="1"/>
  <c r="AD20" i="14" a="1"/>
  <c r="AD20" i="14" s="1"/>
  <c r="AC20" i="14" a="1"/>
  <c r="AC20" i="14" s="1"/>
  <c r="AB20" i="14" a="1"/>
  <c r="AB20" i="14" s="1"/>
  <c r="AA20" i="14" a="1"/>
  <c r="AA20" i="14" s="1"/>
  <c r="F20" i="14" a="1"/>
  <c r="F20" i="14" s="1"/>
  <c r="B20" i="14"/>
  <c r="A20" i="14"/>
  <c r="AT19" i="14" a="1"/>
  <c r="AS19" i="14" a="1"/>
  <c r="AR19" i="14" a="1"/>
  <c r="AQ19" i="14" a="1"/>
  <c r="AD19" i="14" a="1"/>
  <c r="AC19" i="14" a="1"/>
  <c r="AA19" i="14" a="1"/>
  <c r="F19" i="14" a="1"/>
  <c r="A19" i="14"/>
  <c r="B13" i="14"/>
  <c r="A9" i="14"/>
  <c r="A8" i="14"/>
  <c r="A2" i="14"/>
  <c r="A1" i="14"/>
  <c r="B89" i="32"/>
  <c r="A89" i="32"/>
  <c r="A88" i="32"/>
  <c r="A87" i="32"/>
  <c r="A86" i="32"/>
  <c r="A85" i="32"/>
  <c r="A84" i="32"/>
  <c r="A83" i="32"/>
  <c r="A82" i="32"/>
  <c r="BS75" i="1"/>
  <c r="C75" i="32"/>
  <c r="A75" i="32"/>
  <c r="CB27" i="16"/>
  <c r="C74" i="32"/>
  <c r="A74" i="32"/>
  <c r="C72" i="32"/>
  <c r="A72" i="32"/>
  <c r="BS71" i="1"/>
  <c r="BV71" i="1"/>
  <c r="C71" i="32"/>
  <c r="A71" i="32"/>
  <c r="BS70" i="1"/>
  <c r="C70" i="32"/>
  <c r="A70" i="32"/>
  <c r="BV69" i="1"/>
  <c r="C69" i="32"/>
  <c r="A69" i="32"/>
  <c r="BV68" i="1"/>
  <c r="C68" i="32"/>
  <c r="A68" i="32"/>
  <c r="BS67" i="1"/>
  <c r="BV67" i="1"/>
  <c r="C67" i="32"/>
  <c r="A67" i="32"/>
  <c r="BS66" i="1"/>
  <c r="C66" i="32"/>
  <c r="C66" i="1" s="1"/>
  <c r="A66" i="32"/>
  <c r="BV65" i="1"/>
  <c r="C65" i="32"/>
  <c r="A65" i="32"/>
  <c r="C64" i="32"/>
  <c r="A64" i="32"/>
  <c r="CB26" i="16"/>
  <c r="CC26" i="16"/>
  <c r="CE26" i="16"/>
  <c r="C63" i="32"/>
  <c r="A63" i="32"/>
  <c r="BS62" i="1"/>
  <c r="BV62" i="1"/>
  <c r="C62" i="32"/>
  <c r="A62" i="32"/>
  <c r="BS61" i="1"/>
  <c r="BV61" i="1"/>
  <c r="C61" i="32"/>
  <c r="A61" i="32"/>
  <c r="BS60" i="1"/>
  <c r="BV60" i="1"/>
  <c r="C60" i="32"/>
  <c r="A60" i="32"/>
  <c r="BS59" i="1"/>
  <c r="BV59" i="1"/>
  <c r="C59" i="32"/>
  <c r="A59" i="32"/>
  <c r="BS58" i="1"/>
  <c r="BV58" i="1"/>
  <c r="C58" i="32"/>
  <c r="A58" i="32"/>
  <c r="BS57" i="1"/>
  <c r="BV57" i="1"/>
  <c r="C57" i="32"/>
  <c r="A57" i="32"/>
  <c r="BV56" i="1"/>
  <c r="C56" i="32"/>
  <c r="A56" i="32"/>
  <c r="BS55" i="1"/>
  <c r="BV55" i="1"/>
  <c r="C55" i="32"/>
  <c r="A55" i="32"/>
  <c r="BS54" i="1"/>
  <c r="BV54" i="1"/>
  <c r="C54" i="32"/>
  <c r="A54" i="32"/>
  <c r="C53" i="32"/>
  <c r="A53" i="32"/>
  <c r="BS52" i="1"/>
  <c r="BV52" i="1"/>
  <c r="C52" i="32"/>
  <c r="A52" i="32"/>
  <c r="BS51" i="1"/>
  <c r="BV51" i="1"/>
  <c r="C51" i="32"/>
  <c r="A51" i="32"/>
  <c r="BS50" i="1"/>
  <c r="BV50" i="1"/>
  <c r="C50" i="32"/>
  <c r="A50" i="32"/>
  <c r="BS49" i="1"/>
  <c r="BV49" i="1"/>
  <c r="C49" i="32"/>
  <c r="A49" i="32"/>
  <c r="BS48" i="1"/>
  <c r="C48" i="32"/>
  <c r="A48" i="32"/>
  <c r="BS46" i="1"/>
  <c r="BV46" i="1"/>
  <c r="C46" i="32"/>
  <c r="C46" i="1" s="1"/>
  <c r="A46" i="32"/>
  <c r="BS45" i="1"/>
  <c r="BV45" i="1"/>
  <c r="C45" i="32"/>
  <c r="A45" i="32"/>
  <c r="C44" i="32"/>
  <c r="C44" i="1" s="1"/>
  <c r="A44" i="32"/>
  <c r="BV43" i="1"/>
  <c r="C43" i="32"/>
  <c r="A43" i="32"/>
  <c r="BS42" i="1"/>
  <c r="BV42" i="1"/>
  <c r="C42" i="32"/>
  <c r="A42" i="32"/>
  <c r="BS41" i="1"/>
  <c r="BV41" i="1"/>
  <c r="C41" i="32"/>
  <c r="A41" i="32"/>
  <c r="BS40" i="1"/>
  <c r="BV40" i="1"/>
  <c r="C40" i="32"/>
  <c r="A40" i="32"/>
  <c r="BS39" i="1"/>
  <c r="BV39" i="1"/>
  <c r="C39" i="32"/>
  <c r="A39" i="32"/>
  <c r="BS38" i="1"/>
  <c r="BV38" i="1"/>
  <c r="C38" i="32"/>
  <c r="A38" i="32"/>
  <c r="BS37" i="1"/>
  <c r="C37" i="32"/>
  <c r="A37" i="32"/>
  <c r="BS36" i="1"/>
  <c r="C36" i="32"/>
  <c r="C36" i="1" s="1"/>
  <c r="A36" i="32"/>
  <c r="BV35" i="1"/>
  <c r="C35" i="32"/>
  <c r="C35" i="1" s="1"/>
  <c r="A35" i="32"/>
  <c r="BS34" i="1"/>
  <c r="C34" i="32"/>
  <c r="A34" i="32"/>
  <c r="BS33" i="1"/>
  <c r="C33" i="32"/>
  <c r="C33" i="1" s="1"/>
  <c r="A33" i="32"/>
  <c r="BS32" i="1"/>
  <c r="BV32" i="1"/>
  <c r="C32" i="32"/>
  <c r="A32" i="32"/>
  <c r="BS31" i="1"/>
  <c r="BV31" i="1"/>
  <c r="C31" i="32"/>
  <c r="C31" i="1" s="1"/>
  <c r="A31" i="32"/>
  <c r="BS30" i="1"/>
  <c r="BV30" i="1"/>
  <c r="C30" i="32"/>
  <c r="A30" i="32"/>
  <c r="C29" i="32"/>
  <c r="C29" i="1" s="1"/>
  <c r="A29" i="32"/>
  <c r="C28" i="32"/>
  <c r="A28" i="32"/>
  <c r="C27" i="32"/>
  <c r="A27" i="32"/>
  <c r="C26" i="32"/>
  <c r="A26" i="32"/>
  <c r="C25" i="32"/>
  <c r="A25" i="32"/>
  <c r="C24" i="32"/>
  <c r="A24" i="32"/>
  <c r="BV23" i="1"/>
  <c r="C23" i="32"/>
  <c r="A23" i="32"/>
  <c r="BS22" i="1"/>
  <c r="BV22" i="1"/>
  <c r="C22" i="32"/>
  <c r="A22" i="32"/>
  <c r="BS21" i="1"/>
  <c r="BV21" i="1"/>
  <c r="C21" i="32"/>
  <c r="A21" i="32"/>
  <c r="C20" i="32"/>
  <c r="A20" i="32"/>
  <c r="C20" i="28" s="1"/>
  <c r="F20" i="28" s="1"/>
  <c r="A19" i="32"/>
  <c r="A13" i="32"/>
  <c r="A9" i="32"/>
  <c r="A8" i="32"/>
  <c r="A2" i="32"/>
  <c r="A1" i="32"/>
  <c r="AW116" i="1"/>
  <c r="AV116" i="1"/>
  <c r="F114" i="1"/>
  <c r="CA112" i="1"/>
  <c r="BZ112" i="1"/>
  <c r="BY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BC112" i="1"/>
  <c r="BB112" i="1"/>
  <c r="BA112" i="1"/>
  <c r="AZ112" i="1"/>
  <c r="AW112" i="1"/>
  <c r="AV112" i="1"/>
  <c r="AU112" i="1"/>
  <c r="AT112" i="1"/>
  <c r="AS112" i="1"/>
  <c r="AR112" i="1"/>
  <c r="AQ112" i="1"/>
  <c r="AP112" i="1"/>
  <c r="AO112" i="1"/>
  <c r="AN112" i="1"/>
  <c r="AM112" i="1"/>
  <c r="AL112" i="1"/>
  <c r="AK112" i="1"/>
  <c r="AJ112" i="1"/>
  <c r="AI112" i="1"/>
  <c r="AH112" i="1"/>
  <c r="AG112" i="1"/>
  <c r="AF112" i="1"/>
  <c r="AE112" i="1"/>
  <c r="AA112" i="1"/>
  <c r="Z112" i="1"/>
  <c r="Y112" i="1"/>
  <c r="X112" i="1"/>
  <c r="W112" i="1"/>
  <c r="V112" i="1"/>
  <c r="U112" i="1"/>
  <c r="T112" i="1"/>
  <c r="S112" i="1"/>
  <c r="P112" i="1"/>
  <c r="O112" i="1"/>
  <c r="N112" i="1"/>
  <c r="M112" i="1"/>
  <c r="L112" i="1"/>
  <c r="K112" i="1"/>
  <c r="H112" i="1"/>
  <c r="G112" i="1"/>
  <c r="CA111" i="1"/>
  <c r="BZ111" i="1"/>
  <c r="BY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F111" i="1"/>
  <c r="F113" i="1" s="1"/>
  <c r="F109" i="1"/>
  <c r="CA108" i="1"/>
  <c r="BZ108" i="1"/>
  <c r="BY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F108" i="1"/>
  <c r="BE108" i="1"/>
  <c r="BD108" i="1"/>
  <c r="BC108" i="1"/>
  <c r="BB108" i="1"/>
  <c r="BA108" i="1"/>
  <c r="AW108" i="1"/>
  <c r="AV108" i="1"/>
  <c r="AU108" i="1"/>
  <c r="AS108" i="1"/>
  <c r="AR108" i="1"/>
  <c r="AQ108" i="1"/>
  <c r="AP108" i="1"/>
  <c r="AO108" i="1"/>
  <c r="AN108" i="1"/>
  <c r="AM108" i="1"/>
  <c r="AL108" i="1"/>
  <c r="AK108" i="1"/>
  <c r="F108" i="1"/>
  <c r="CC107" i="1" a="1"/>
  <c r="CC107" i="1" s="1"/>
  <c r="AJ106" i="1"/>
  <c r="AJ110" i="17" s="1"/>
  <c r="AI106" i="1"/>
  <c r="AH106" i="1"/>
  <c r="AH110" i="17" s="1"/>
  <c r="AG106" i="1"/>
  <c r="AG110" i="17" s="1"/>
  <c r="AF106" i="1"/>
  <c r="AF110" i="17" s="1"/>
  <c r="AE106" i="1"/>
  <c r="AE108" i="1" s="1"/>
  <c r="AC110" i="17"/>
  <c r="AB110" i="17"/>
  <c r="AA110" i="17"/>
  <c r="Z110" i="17"/>
  <c r="X110" i="17"/>
  <c r="W110" i="17"/>
  <c r="V110" i="17"/>
  <c r="T110" i="17"/>
  <c r="S110" i="17"/>
  <c r="P110" i="17"/>
  <c r="N110" i="17"/>
  <c r="M110" i="17"/>
  <c r="K110" i="17"/>
  <c r="J108" i="1"/>
  <c r="H110" i="17"/>
  <c r="DL75" i="1"/>
  <c r="BZ75" i="1"/>
  <c r="CA75" i="1" s="1"/>
  <c r="BY75" i="1"/>
  <c r="BW75" i="1"/>
  <c r="BV75" i="1"/>
  <c r="BR75" i="1"/>
  <c r="BO75" i="1"/>
  <c r="BN75" i="1"/>
  <c r="BL75" i="1"/>
  <c r="BK75" i="1"/>
  <c r="BJ75" i="1"/>
  <c r="BH75" i="1"/>
  <c r="BG75" i="1"/>
  <c r="AP75" i="1"/>
  <c r="AJ75" i="1"/>
  <c r="AG75" i="1"/>
  <c r="AA75" i="1"/>
  <c r="X75" i="1"/>
  <c r="U75" i="1"/>
  <c r="O75" i="1"/>
  <c r="L75" i="1"/>
  <c r="J75" i="1"/>
  <c r="H75" i="1"/>
  <c r="D75" i="1"/>
  <c r="B75" i="29" s="1"/>
  <c r="C75" i="1"/>
  <c r="BZ74" i="1"/>
  <c r="CA74" i="1" s="1"/>
  <c r="BY74" i="1"/>
  <c r="BW74" i="1"/>
  <c r="BR74" i="1"/>
  <c r="BO74" i="1"/>
  <c r="BN74" i="1"/>
  <c r="BQ74" i="1" s="1"/>
  <c r="BL74" i="1"/>
  <c r="BK74" i="1"/>
  <c r="BJ74" i="1"/>
  <c r="BH74" i="1"/>
  <c r="BG74" i="1"/>
  <c r="AP74" i="1"/>
  <c r="AJ74" i="1"/>
  <c r="AG74" i="1"/>
  <c r="AA74" i="1"/>
  <c r="X74" i="1"/>
  <c r="U74" i="1"/>
  <c r="O74" i="1"/>
  <c r="L74" i="1"/>
  <c r="J74" i="1"/>
  <c r="H74" i="1"/>
  <c r="D74" i="1"/>
  <c r="DM74" i="1" s="1"/>
  <c r="DL72" i="1"/>
  <c r="BZ72" i="1"/>
  <c r="CA72" i="1" s="1"/>
  <c r="BY72" i="1"/>
  <c r="BW72" i="1"/>
  <c r="BV72" i="1"/>
  <c r="BS72" i="1"/>
  <c r="BR72" i="1"/>
  <c r="BO72" i="1"/>
  <c r="BN72" i="1"/>
  <c r="BQ72" i="1" s="1"/>
  <c r="BL72" i="1"/>
  <c r="BK72" i="1"/>
  <c r="BJ72" i="1"/>
  <c r="BH72" i="1"/>
  <c r="BG72" i="1"/>
  <c r="AP72" i="1"/>
  <c r="AJ72" i="1"/>
  <c r="AG72" i="1"/>
  <c r="AA72" i="1"/>
  <c r="X72" i="1"/>
  <c r="U72" i="1"/>
  <c r="O72" i="1"/>
  <c r="L72" i="1"/>
  <c r="J72" i="1"/>
  <c r="H72" i="1"/>
  <c r="D72" i="1"/>
  <c r="DL71" i="1"/>
  <c r="BZ71" i="1"/>
  <c r="BY71" i="1"/>
  <c r="BW71" i="1"/>
  <c r="BR71" i="1"/>
  <c r="BO71" i="1"/>
  <c r="BN71" i="1"/>
  <c r="BL71" i="1"/>
  <c r="BK71" i="1"/>
  <c r="BJ71" i="1"/>
  <c r="BH71" i="1"/>
  <c r="BG71" i="1"/>
  <c r="AP71" i="1"/>
  <c r="AJ71" i="1"/>
  <c r="AG71" i="1"/>
  <c r="AA71" i="1"/>
  <c r="X71" i="1"/>
  <c r="U71" i="1"/>
  <c r="O71" i="1"/>
  <c r="L71" i="1"/>
  <c r="J71" i="1"/>
  <c r="H71" i="1"/>
  <c r="D71" i="1"/>
  <c r="DL70" i="1"/>
  <c r="BZ70" i="1"/>
  <c r="BY70" i="1"/>
  <c r="BW70" i="1"/>
  <c r="BV70" i="1"/>
  <c r="BR70" i="1"/>
  <c r="BO70" i="1"/>
  <c r="BN70" i="1"/>
  <c r="BL70" i="1"/>
  <c r="BK70" i="1"/>
  <c r="BJ70" i="1"/>
  <c r="BH70" i="1"/>
  <c r="BG70" i="1"/>
  <c r="AP70" i="1"/>
  <c r="AJ70" i="1"/>
  <c r="AG70" i="1"/>
  <c r="AA70" i="1"/>
  <c r="X70" i="1"/>
  <c r="U70" i="1"/>
  <c r="O70" i="1"/>
  <c r="L70" i="1"/>
  <c r="J70" i="1"/>
  <c r="H70" i="1"/>
  <c r="D70" i="1"/>
  <c r="B70" i="13" s="1"/>
  <c r="C70" i="1"/>
  <c r="DL69" i="1"/>
  <c r="BZ69" i="1"/>
  <c r="BY69" i="1"/>
  <c r="BW69" i="1"/>
  <c r="BR69" i="1"/>
  <c r="BO69" i="1"/>
  <c r="BN69" i="1"/>
  <c r="BL69" i="1"/>
  <c r="BK69" i="1"/>
  <c r="BJ69" i="1"/>
  <c r="BH69" i="1"/>
  <c r="BG69" i="1"/>
  <c r="AP69" i="1"/>
  <c r="AJ69" i="1"/>
  <c r="AG69" i="1"/>
  <c r="AA69" i="1"/>
  <c r="X69" i="1"/>
  <c r="U69" i="1"/>
  <c r="O69" i="1"/>
  <c r="L69" i="1"/>
  <c r="J69" i="1"/>
  <c r="H69" i="1"/>
  <c r="D69" i="1"/>
  <c r="B69" i="32" s="1"/>
  <c r="DL68" i="1"/>
  <c r="BZ68" i="1"/>
  <c r="BY68" i="1"/>
  <c r="BW68" i="1"/>
  <c r="BS68" i="1"/>
  <c r="BR68" i="1"/>
  <c r="BO68" i="1"/>
  <c r="BN68" i="1"/>
  <c r="BL68" i="1"/>
  <c r="BJ68" i="1"/>
  <c r="BH68" i="1"/>
  <c r="BG68" i="1"/>
  <c r="AP68" i="1"/>
  <c r="AJ68" i="1"/>
  <c r="AG68" i="1"/>
  <c r="AA68" i="1"/>
  <c r="X68" i="1"/>
  <c r="U68" i="1"/>
  <c r="O68" i="1"/>
  <c r="L68" i="1"/>
  <c r="J68" i="1"/>
  <c r="H68" i="1"/>
  <c r="D68" i="1"/>
  <c r="DM68" i="1" s="1"/>
  <c r="DL67" i="1"/>
  <c r="BZ67" i="1"/>
  <c r="BY67" i="1"/>
  <c r="BW67" i="1"/>
  <c r="BR67" i="1"/>
  <c r="BO67" i="1"/>
  <c r="BN67" i="1"/>
  <c r="BL67" i="1"/>
  <c r="BK67" i="1"/>
  <c r="BJ67" i="1"/>
  <c r="BH67" i="1"/>
  <c r="BG67" i="1"/>
  <c r="AP67" i="1"/>
  <c r="AJ67" i="1"/>
  <c r="AG67" i="1"/>
  <c r="AA67" i="1"/>
  <c r="X67" i="1"/>
  <c r="U67" i="1"/>
  <c r="O67" i="1"/>
  <c r="L67" i="1"/>
  <c r="J67" i="1"/>
  <c r="H67" i="1"/>
  <c r="D67" i="1"/>
  <c r="B67" i="32" s="1"/>
  <c r="DL66" i="1"/>
  <c r="BZ66" i="1"/>
  <c r="BY66" i="1"/>
  <c r="BW66" i="1"/>
  <c r="BV66" i="1"/>
  <c r="BR66" i="1"/>
  <c r="BO66" i="1"/>
  <c r="BN66" i="1"/>
  <c r="BL66" i="1"/>
  <c r="BK66" i="1"/>
  <c r="BJ66" i="1"/>
  <c r="BH66" i="1"/>
  <c r="BG66" i="1"/>
  <c r="AP66" i="1"/>
  <c r="AJ66" i="1"/>
  <c r="AG66" i="1"/>
  <c r="AA66" i="1"/>
  <c r="X66" i="1"/>
  <c r="U66" i="1"/>
  <c r="O66" i="1"/>
  <c r="L66" i="1"/>
  <c r="J66" i="1"/>
  <c r="H66" i="1"/>
  <c r="D66" i="1"/>
  <c r="DL65" i="1"/>
  <c r="BZ65" i="1"/>
  <c r="CA65" i="1" s="1"/>
  <c r="BY65" i="1"/>
  <c r="BW65" i="1"/>
  <c r="BS65" i="1"/>
  <c r="BR65" i="1"/>
  <c r="BO65" i="1"/>
  <c r="BN65" i="1"/>
  <c r="BL65" i="1"/>
  <c r="BK65" i="1"/>
  <c r="BJ65" i="1"/>
  <c r="BH65" i="1"/>
  <c r="BG65" i="1"/>
  <c r="AP65" i="1"/>
  <c r="AJ65" i="1"/>
  <c r="AG65" i="1"/>
  <c r="AA65" i="1"/>
  <c r="X65" i="1"/>
  <c r="U65" i="1"/>
  <c r="O65" i="1"/>
  <c r="L65" i="1"/>
  <c r="J65" i="1"/>
  <c r="H65" i="1"/>
  <c r="D65" i="1"/>
  <c r="B65" i="32" s="1"/>
  <c r="DL64" i="1"/>
  <c r="BZ64" i="1"/>
  <c r="BY64" i="1"/>
  <c r="BW64" i="1"/>
  <c r="BV64" i="1"/>
  <c r="BS64" i="1"/>
  <c r="BR64" i="1"/>
  <c r="BO64" i="1"/>
  <c r="BN64" i="1"/>
  <c r="BL64" i="1"/>
  <c r="BK64" i="1"/>
  <c r="BJ64" i="1"/>
  <c r="BH64" i="1"/>
  <c r="BG64" i="1"/>
  <c r="AP64" i="1"/>
  <c r="AJ64" i="1"/>
  <c r="AG64" i="1"/>
  <c r="AA64" i="1"/>
  <c r="X64" i="1"/>
  <c r="U64" i="1"/>
  <c r="O64" i="1"/>
  <c r="L64" i="1"/>
  <c r="J64" i="1"/>
  <c r="H64" i="1"/>
  <c r="D64" i="1"/>
  <c r="DM64" i="1" s="1"/>
  <c r="DL63" i="1"/>
  <c r="BZ63" i="1"/>
  <c r="BY63" i="1"/>
  <c r="BW63" i="1"/>
  <c r="BR63" i="1"/>
  <c r="BO63" i="1"/>
  <c r="BN63" i="1"/>
  <c r="BL63" i="1"/>
  <c r="BK63" i="1"/>
  <c r="BJ63" i="1"/>
  <c r="BH63" i="1"/>
  <c r="BG63" i="1"/>
  <c r="AP63" i="1"/>
  <c r="AJ63" i="1"/>
  <c r="AG63" i="1"/>
  <c r="AA63" i="1"/>
  <c r="X63" i="1"/>
  <c r="U63" i="1"/>
  <c r="O63" i="1"/>
  <c r="L63" i="1"/>
  <c r="J63" i="1"/>
  <c r="H63" i="1"/>
  <c r="D63" i="1"/>
  <c r="DL62" i="1"/>
  <c r="BZ62" i="1"/>
  <c r="BY62" i="1"/>
  <c r="BW62" i="1"/>
  <c r="BR62" i="1"/>
  <c r="BO62" i="1"/>
  <c r="BN62" i="1"/>
  <c r="BL62" i="1"/>
  <c r="BK62" i="1"/>
  <c r="BJ62" i="1"/>
  <c r="BH62" i="1"/>
  <c r="BG62" i="1"/>
  <c r="AP62" i="1"/>
  <c r="AJ62" i="1"/>
  <c r="AG62" i="1"/>
  <c r="AA62" i="1"/>
  <c r="X62" i="1"/>
  <c r="U62" i="1"/>
  <c r="O62" i="1"/>
  <c r="L62" i="1"/>
  <c r="J62" i="1"/>
  <c r="H62" i="1"/>
  <c r="D62" i="1"/>
  <c r="B62" i="13" s="1"/>
  <c r="DL61" i="1"/>
  <c r="BZ61" i="1"/>
  <c r="BW61" i="1"/>
  <c r="BR61" i="1"/>
  <c r="BO61" i="1"/>
  <c r="BN61" i="1"/>
  <c r="BL61" i="1"/>
  <c r="BK61" i="1"/>
  <c r="BJ61" i="1"/>
  <c r="BH61" i="1"/>
  <c r="BG61" i="1"/>
  <c r="AP61" i="1"/>
  <c r="AJ61" i="1"/>
  <c r="AG61" i="1"/>
  <c r="AA61" i="1"/>
  <c r="X61" i="1"/>
  <c r="U61" i="1"/>
  <c r="O61" i="1"/>
  <c r="L61" i="1"/>
  <c r="J61" i="1"/>
  <c r="H61" i="1"/>
  <c r="D61" i="1"/>
  <c r="DM61" i="1" s="1"/>
  <c r="DL60" i="1"/>
  <c r="BZ60" i="1"/>
  <c r="BY60" i="1"/>
  <c r="BW60" i="1"/>
  <c r="BR60" i="1"/>
  <c r="BO60" i="1"/>
  <c r="BN60" i="1"/>
  <c r="BL60" i="1"/>
  <c r="BK60" i="1"/>
  <c r="BJ60" i="1"/>
  <c r="BH60" i="1"/>
  <c r="BG60" i="1"/>
  <c r="AP60" i="1"/>
  <c r="AJ60" i="1"/>
  <c r="AG60" i="1"/>
  <c r="AA60" i="1"/>
  <c r="X60" i="1"/>
  <c r="U60" i="1"/>
  <c r="O60" i="1"/>
  <c r="L60" i="1"/>
  <c r="J60" i="1"/>
  <c r="H60" i="1"/>
  <c r="D60" i="1"/>
  <c r="DL59" i="1"/>
  <c r="BZ59" i="1"/>
  <c r="CA59" i="1" s="1"/>
  <c r="BY59" i="1"/>
  <c r="BW59" i="1"/>
  <c r="BR59" i="1"/>
  <c r="BO59" i="1"/>
  <c r="BN59" i="1"/>
  <c r="BL59" i="1"/>
  <c r="BK59" i="1"/>
  <c r="BJ59" i="1"/>
  <c r="BH59" i="1"/>
  <c r="BG59" i="1"/>
  <c r="AP59" i="1"/>
  <c r="AJ59" i="1"/>
  <c r="AG59" i="1"/>
  <c r="AA59" i="1"/>
  <c r="X59" i="1"/>
  <c r="U59" i="1"/>
  <c r="O59" i="1"/>
  <c r="L59" i="1"/>
  <c r="J59" i="1"/>
  <c r="H59" i="1"/>
  <c r="D59" i="1"/>
  <c r="B59" i="29" s="1"/>
  <c r="DL58" i="1"/>
  <c r="BZ58" i="1"/>
  <c r="BY58" i="1"/>
  <c r="BW58" i="1"/>
  <c r="BR58" i="1"/>
  <c r="BO58" i="1"/>
  <c r="BN58" i="1"/>
  <c r="BL58" i="1"/>
  <c r="BK58" i="1"/>
  <c r="BJ58" i="1"/>
  <c r="BQ58" i="1" s="1"/>
  <c r="BH58" i="1"/>
  <c r="BG58" i="1"/>
  <c r="AP58" i="1"/>
  <c r="AJ58" i="1"/>
  <c r="AG58" i="1"/>
  <c r="AA58" i="1"/>
  <c r="X58" i="1"/>
  <c r="U58" i="1"/>
  <c r="O58" i="1"/>
  <c r="L58" i="1"/>
  <c r="J58" i="1"/>
  <c r="H58" i="1"/>
  <c r="D58" i="1"/>
  <c r="B58" i="32" s="1"/>
  <c r="DL57" i="1"/>
  <c r="BZ57" i="1"/>
  <c r="BW57" i="1"/>
  <c r="BR57" i="1"/>
  <c r="BO57" i="1"/>
  <c r="BN57" i="1"/>
  <c r="BL57" i="1"/>
  <c r="BK57" i="1"/>
  <c r="BJ57" i="1"/>
  <c r="BH57" i="1"/>
  <c r="BG57" i="1"/>
  <c r="AP57" i="1"/>
  <c r="AJ57" i="1"/>
  <c r="AG57" i="1"/>
  <c r="AA57" i="1"/>
  <c r="X57" i="1"/>
  <c r="U57" i="1"/>
  <c r="O57" i="1"/>
  <c r="L57" i="1"/>
  <c r="J57" i="1"/>
  <c r="H57" i="1"/>
  <c r="D57" i="1"/>
  <c r="DM57" i="1" s="1"/>
  <c r="DL56" i="1"/>
  <c r="BZ56" i="1"/>
  <c r="BY56" i="1"/>
  <c r="BW56" i="1"/>
  <c r="BS56" i="1"/>
  <c r="BR56" i="1"/>
  <c r="BO56" i="1"/>
  <c r="BN56" i="1"/>
  <c r="BL56" i="1"/>
  <c r="BK56" i="1"/>
  <c r="BJ56" i="1"/>
  <c r="BH56" i="1"/>
  <c r="BG56" i="1"/>
  <c r="AP56" i="1"/>
  <c r="AJ56" i="1"/>
  <c r="AG56" i="1"/>
  <c r="AA56" i="1"/>
  <c r="X56" i="1"/>
  <c r="U56" i="1"/>
  <c r="O56" i="1"/>
  <c r="L56" i="1"/>
  <c r="J56" i="1"/>
  <c r="H56" i="1"/>
  <c r="D56" i="1"/>
  <c r="DM56" i="1" s="1"/>
  <c r="BZ55" i="1"/>
  <c r="BY55" i="1"/>
  <c r="BW55" i="1"/>
  <c r="BR55" i="1"/>
  <c r="BO55" i="1"/>
  <c r="BN55" i="1"/>
  <c r="BL55" i="1"/>
  <c r="BK55" i="1"/>
  <c r="BJ55" i="1"/>
  <c r="BH55" i="1"/>
  <c r="BG55" i="1"/>
  <c r="AP55" i="1"/>
  <c r="AJ55" i="1"/>
  <c r="AG55" i="1"/>
  <c r="AA55" i="1"/>
  <c r="X55" i="1"/>
  <c r="U55" i="1"/>
  <c r="O55" i="1"/>
  <c r="L55" i="1"/>
  <c r="J55" i="1"/>
  <c r="H55" i="1"/>
  <c r="D55" i="1"/>
  <c r="DM55" i="1" s="1"/>
  <c r="BZ54" i="1"/>
  <c r="BY54" i="1"/>
  <c r="BW54" i="1"/>
  <c r="BR54" i="1"/>
  <c r="BO54" i="1"/>
  <c r="BN54" i="1"/>
  <c r="BL54" i="1"/>
  <c r="BK54" i="1"/>
  <c r="BJ54" i="1"/>
  <c r="BH54" i="1"/>
  <c r="BG54" i="1"/>
  <c r="AP54" i="1"/>
  <c r="AJ54" i="1"/>
  <c r="AG54" i="1"/>
  <c r="AA54" i="1"/>
  <c r="X54" i="1"/>
  <c r="U54" i="1"/>
  <c r="O54" i="1"/>
  <c r="L54" i="1"/>
  <c r="J54" i="1"/>
  <c r="H54" i="1"/>
  <c r="D54" i="1"/>
  <c r="DM54" i="1" s="1"/>
  <c r="BZ53" i="1"/>
  <c r="BY53" i="1"/>
  <c r="BW53" i="1"/>
  <c r="BS53" i="1"/>
  <c r="BR53" i="1"/>
  <c r="BO53" i="1"/>
  <c r="BN53" i="1"/>
  <c r="BL53" i="1"/>
  <c r="BK53" i="1"/>
  <c r="BJ53" i="1"/>
  <c r="BH53" i="1"/>
  <c r="BG53" i="1"/>
  <c r="AP53" i="1"/>
  <c r="AJ53" i="1"/>
  <c r="AG53" i="1"/>
  <c r="AA53" i="1"/>
  <c r="X53" i="1"/>
  <c r="U53" i="1"/>
  <c r="O53" i="1"/>
  <c r="L53" i="1"/>
  <c r="J53" i="1"/>
  <c r="H53" i="1"/>
  <c r="D53" i="1"/>
  <c r="BZ52" i="1"/>
  <c r="BY52" i="1"/>
  <c r="BW52" i="1"/>
  <c r="BR52" i="1"/>
  <c r="BO52" i="1"/>
  <c r="BN52" i="1"/>
  <c r="BL52" i="1"/>
  <c r="BK52" i="1"/>
  <c r="BJ52" i="1"/>
  <c r="BH52" i="1"/>
  <c r="BG52" i="1"/>
  <c r="AP52" i="1"/>
  <c r="AJ52" i="1"/>
  <c r="AG52" i="1"/>
  <c r="AA52" i="1"/>
  <c r="X52" i="1"/>
  <c r="U52" i="1"/>
  <c r="O52" i="1"/>
  <c r="L52" i="1"/>
  <c r="J52" i="1"/>
  <c r="H52" i="1"/>
  <c r="D52" i="1"/>
  <c r="BY51" i="1"/>
  <c r="BW51" i="1"/>
  <c r="BX51" i="1" s="1"/>
  <c r="BR51" i="1"/>
  <c r="BO51" i="1"/>
  <c r="BN51" i="1"/>
  <c r="BQ51" i="1" s="1"/>
  <c r="BL51" i="1"/>
  <c r="BM51" i="1" s="1" a="1"/>
  <c r="BM51" i="1" s="1"/>
  <c r="D51" i="1"/>
  <c r="DM51" i="1" s="1"/>
  <c r="BZ50" i="1"/>
  <c r="BY50" i="1"/>
  <c r="BW50" i="1"/>
  <c r="BR50" i="1"/>
  <c r="BO50" i="1"/>
  <c r="BN50" i="1"/>
  <c r="BL50" i="1"/>
  <c r="BK50" i="1"/>
  <c r="BJ50" i="1"/>
  <c r="BH50" i="1"/>
  <c r="BG50" i="1"/>
  <c r="AP50" i="1"/>
  <c r="AJ50" i="1"/>
  <c r="AG50" i="1"/>
  <c r="AA50" i="1"/>
  <c r="X50" i="1"/>
  <c r="U50" i="1"/>
  <c r="O50" i="1"/>
  <c r="L50" i="1"/>
  <c r="J50" i="1"/>
  <c r="H50" i="1"/>
  <c r="D50" i="1"/>
  <c r="DM50" i="1" s="1"/>
  <c r="BZ49" i="1"/>
  <c r="BY49" i="1"/>
  <c r="BW49" i="1"/>
  <c r="BR49" i="1"/>
  <c r="BO49" i="1"/>
  <c r="BN49" i="1"/>
  <c r="BL49" i="1"/>
  <c r="BK49" i="1"/>
  <c r="BJ49" i="1"/>
  <c r="BH49" i="1"/>
  <c r="BG49" i="1"/>
  <c r="AP49" i="1"/>
  <c r="AJ49" i="1"/>
  <c r="AG49" i="1"/>
  <c r="AA49" i="1"/>
  <c r="X49" i="1"/>
  <c r="U49" i="1"/>
  <c r="O49" i="1"/>
  <c r="L49" i="1"/>
  <c r="J49" i="1"/>
  <c r="H49" i="1"/>
  <c r="D49" i="1"/>
  <c r="DM49" i="1" s="1"/>
  <c r="BZ48" i="1"/>
  <c r="BY48" i="1"/>
  <c r="BW48" i="1"/>
  <c r="BR48" i="1"/>
  <c r="BO48" i="1"/>
  <c r="BN48" i="1"/>
  <c r="BL48" i="1"/>
  <c r="BK48" i="1"/>
  <c r="BJ48" i="1"/>
  <c r="BQ48" i="1" s="1"/>
  <c r="BH48" i="1"/>
  <c r="BG48" i="1"/>
  <c r="AP48" i="1"/>
  <c r="AJ48" i="1"/>
  <c r="AG48" i="1"/>
  <c r="AA48" i="1"/>
  <c r="X48" i="1"/>
  <c r="U48" i="1"/>
  <c r="O48" i="1"/>
  <c r="L48" i="1"/>
  <c r="J48" i="1"/>
  <c r="H48" i="1"/>
  <c r="D48" i="1"/>
  <c r="DM48" i="1" s="1"/>
  <c r="BZ46" i="1"/>
  <c r="BY46" i="1"/>
  <c r="BW46" i="1"/>
  <c r="BR46" i="1"/>
  <c r="BO46" i="1"/>
  <c r="BN46" i="1"/>
  <c r="BL46" i="1"/>
  <c r="BK46" i="1"/>
  <c r="BJ46" i="1"/>
  <c r="BH46" i="1"/>
  <c r="BG46" i="1"/>
  <c r="AP46" i="1"/>
  <c r="AJ46" i="1"/>
  <c r="AG46" i="1"/>
  <c r="AA46" i="1"/>
  <c r="X46" i="1"/>
  <c r="U46" i="1"/>
  <c r="O46" i="1"/>
  <c r="L46" i="1"/>
  <c r="J46" i="1"/>
  <c r="H46" i="1"/>
  <c r="D46" i="1"/>
  <c r="DM46" i="1" s="1"/>
  <c r="BZ45" i="1"/>
  <c r="BY45" i="1"/>
  <c r="BW45" i="1"/>
  <c r="BR45" i="1"/>
  <c r="BO45" i="1"/>
  <c r="BN45" i="1"/>
  <c r="BL45" i="1"/>
  <c r="BK45" i="1"/>
  <c r="BJ45" i="1"/>
  <c r="BQ45" i="1" s="1"/>
  <c r="BH45" i="1"/>
  <c r="BG45" i="1"/>
  <c r="AP45" i="1"/>
  <c r="AJ45" i="1"/>
  <c r="AG45" i="1"/>
  <c r="AA45" i="1"/>
  <c r="X45" i="1"/>
  <c r="U45" i="1"/>
  <c r="O45" i="1"/>
  <c r="L45" i="1"/>
  <c r="J45" i="1"/>
  <c r="H45" i="1"/>
  <c r="D45" i="1"/>
  <c r="DM45" i="1" s="1"/>
  <c r="BZ44" i="1"/>
  <c r="BY44" i="1"/>
  <c r="BW44" i="1"/>
  <c r="BV44" i="1"/>
  <c r="BS44" i="1"/>
  <c r="BR44" i="1"/>
  <c r="BO44" i="1"/>
  <c r="BN44" i="1"/>
  <c r="BL44" i="1"/>
  <c r="BK44" i="1"/>
  <c r="BJ44" i="1"/>
  <c r="BQ44" i="1" s="1"/>
  <c r="BH44" i="1"/>
  <c r="BG44" i="1"/>
  <c r="AP44" i="1"/>
  <c r="AJ44" i="1"/>
  <c r="AG44" i="1"/>
  <c r="AA44" i="1"/>
  <c r="X44" i="1"/>
  <c r="U44" i="1"/>
  <c r="O44" i="1"/>
  <c r="L44" i="1"/>
  <c r="J44" i="1"/>
  <c r="H44" i="1"/>
  <c r="D44" i="1"/>
  <c r="DM44" i="1" s="1"/>
  <c r="BZ43" i="1"/>
  <c r="BY43" i="1"/>
  <c r="BW43" i="1"/>
  <c r="BS43" i="1"/>
  <c r="BR43" i="1"/>
  <c r="BO43" i="1"/>
  <c r="BN43" i="1"/>
  <c r="BL43" i="1"/>
  <c r="BK43" i="1"/>
  <c r="BJ43" i="1"/>
  <c r="BH43" i="1"/>
  <c r="BG43" i="1"/>
  <c r="AP43" i="1"/>
  <c r="AJ43" i="1"/>
  <c r="AG43" i="1"/>
  <c r="AA43" i="1"/>
  <c r="X43" i="1"/>
  <c r="U43" i="1"/>
  <c r="O43" i="1"/>
  <c r="L43" i="1"/>
  <c r="J43" i="1"/>
  <c r="H43" i="1"/>
  <c r="D43" i="1"/>
  <c r="BZ42" i="1"/>
  <c r="CA42" i="1" s="1"/>
  <c r="BY42" i="1"/>
  <c r="BW42" i="1"/>
  <c r="BR42" i="1"/>
  <c r="BO42" i="1"/>
  <c r="BN42" i="1"/>
  <c r="BL42" i="1"/>
  <c r="BK42" i="1"/>
  <c r="BJ42" i="1"/>
  <c r="BH42" i="1"/>
  <c r="BG42" i="1"/>
  <c r="AP42" i="1"/>
  <c r="AJ42" i="1"/>
  <c r="AG42" i="1"/>
  <c r="AA42" i="1"/>
  <c r="X42" i="1"/>
  <c r="U42" i="1"/>
  <c r="O42" i="1"/>
  <c r="L42" i="1"/>
  <c r="J42" i="1"/>
  <c r="H42" i="1"/>
  <c r="D42" i="1"/>
  <c r="BZ41" i="1"/>
  <c r="BY41" i="1"/>
  <c r="BW41" i="1"/>
  <c r="BR41" i="1"/>
  <c r="BO41" i="1"/>
  <c r="BN41" i="1"/>
  <c r="BL41" i="1"/>
  <c r="BK41" i="1"/>
  <c r="BJ41" i="1"/>
  <c r="BH41" i="1"/>
  <c r="BG41" i="1"/>
  <c r="AP41" i="1"/>
  <c r="AJ41" i="1"/>
  <c r="AG41" i="1"/>
  <c r="AA41" i="1"/>
  <c r="X41" i="1"/>
  <c r="U41" i="1"/>
  <c r="O41" i="1"/>
  <c r="L41" i="1"/>
  <c r="J41" i="1"/>
  <c r="H41" i="1"/>
  <c r="D41" i="1"/>
  <c r="DM41" i="1" s="1"/>
  <c r="BZ40" i="1"/>
  <c r="BY40" i="1"/>
  <c r="BW40" i="1"/>
  <c r="BR40" i="1"/>
  <c r="BO40" i="1"/>
  <c r="BN40" i="1"/>
  <c r="BL40" i="1"/>
  <c r="BK40" i="1"/>
  <c r="BJ40" i="1"/>
  <c r="BH40" i="1"/>
  <c r="BG40" i="1"/>
  <c r="AP40" i="1"/>
  <c r="AJ40" i="1"/>
  <c r="AG40" i="1"/>
  <c r="AA40" i="1"/>
  <c r="X40" i="1"/>
  <c r="U40" i="1"/>
  <c r="O40" i="1"/>
  <c r="L40" i="1"/>
  <c r="J40" i="1"/>
  <c r="H40" i="1"/>
  <c r="D40" i="1"/>
  <c r="DM40" i="1" s="1"/>
  <c r="BZ39" i="1"/>
  <c r="BY39" i="1"/>
  <c r="BW39" i="1"/>
  <c r="BR39" i="1"/>
  <c r="BO39" i="1"/>
  <c r="BN39" i="1"/>
  <c r="BL39" i="1"/>
  <c r="BK39" i="1"/>
  <c r="BJ39" i="1"/>
  <c r="BH39" i="1"/>
  <c r="BG39" i="1"/>
  <c r="AP39" i="1"/>
  <c r="AJ39" i="1"/>
  <c r="AG39" i="1"/>
  <c r="AA39" i="1"/>
  <c r="X39" i="1"/>
  <c r="U39" i="1"/>
  <c r="O39" i="1"/>
  <c r="L39" i="1"/>
  <c r="J39" i="1"/>
  <c r="H39" i="1"/>
  <c r="D39" i="1"/>
  <c r="DM39" i="1" s="1"/>
  <c r="BZ38" i="1"/>
  <c r="BY38" i="1"/>
  <c r="BW38" i="1"/>
  <c r="BR38" i="1"/>
  <c r="BO38" i="1"/>
  <c r="BN38" i="1"/>
  <c r="BL38" i="1"/>
  <c r="BK38" i="1"/>
  <c r="BJ38" i="1"/>
  <c r="BH38" i="1"/>
  <c r="BG38" i="1"/>
  <c r="AP38" i="1"/>
  <c r="AJ38" i="1"/>
  <c r="AG38" i="1"/>
  <c r="AA38" i="1"/>
  <c r="X38" i="1"/>
  <c r="U38" i="1"/>
  <c r="O38" i="1"/>
  <c r="L38" i="1"/>
  <c r="J38" i="1"/>
  <c r="H38" i="1"/>
  <c r="D38" i="1"/>
  <c r="DM38" i="1" s="1"/>
  <c r="BZ37" i="1"/>
  <c r="CA37" i="1" s="1"/>
  <c r="BY37" i="1"/>
  <c r="BW37" i="1"/>
  <c r="BV37" i="1"/>
  <c r="BR37" i="1"/>
  <c r="BO37" i="1"/>
  <c r="BN37" i="1"/>
  <c r="BL37" i="1"/>
  <c r="BK37" i="1"/>
  <c r="BJ37" i="1"/>
  <c r="BH37" i="1"/>
  <c r="BG37" i="1"/>
  <c r="AP37" i="1"/>
  <c r="AJ37" i="1"/>
  <c r="AG37" i="1"/>
  <c r="AA37" i="1"/>
  <c r="X37" i="1"/>
  <c r="U37" i="1"/>
  <c r="O37" i="1"/>
  <c r="L37" i="1"/>
  <c r="J37" i="1"/>
  <c r="H37" i="1"/>
  <c r="D37" i="1"/>
  <c r="DM37" i="1" s="1"/>
  <c r="BZ36" i="1"/>
  <c r="BY36" i="1"/>
  <c r="BW36" i="1"/>
  <c r="BV36" i="1"/>
  <c r="BR36" i="1"/>
  <c r="BO36" i="1"/>
  <c r="BN36" i="1"/>
  <c r="BL36" i="1"/>
  <c r="BK36" i="1"/>
  <c r="BJ36" i="1"/>
  <c r="BH36" i="1"/>
  <c r="BG36" i="1"/>
  <c r="AP36" i="1"/>
  <c r="AJ36" i="1"/>
  <c r="AG36" i="1"/>
  <c r="AA36" i="1"/>
  <c r="X36" i="1"/>
  <c r="U36" i="1"/>
  <c r="O36" i="1"/>
  <c r="L36" i="1"/>
  <c r="J36" i="1"/>
  <c r="H36" i="1"/>
  <c r="D36" i="1"/>
  <c r="BZ35" i="1"/>
  <c r="BY35" i="1"/>
  <c r="BW35" i="1"/>
  <c r="BS35" i="1"/>
  <c r="BR35" i="1"/>
  <c r="BO35" i="1"/>
  <c r="BN35" i="1"/>
  <c r="BL35" i="1"/>
  <c r="BK35" i="1"/>
  <c r="BJ35" i="1"/>
  <c r="BQ35" i="1" s="1"/>
  <c r="BH35" i="1"/>
  <c r="BG35" i="1"/>
  <c r="AP35" i="1"/>
  <c r="AJ35" i="1"/>
  <c r="AG35" i="1"/>
  <c r="AA35" i="1"/>
  <c r="X35" i="1"/>
  <c r="U35" i="1"/>
  <c r="O35" i="1"/>
  <c r="L35" i="1"/>
  <c r="J35" i="1"/>
  <c r="H35" i="1"/>
  <c r="D35" i="1"/>
  <c r="BZ34" i="1"/>
  <c r="BY34" i="1"/>
  <c r="BW34" i="1"/>
  <c r="BV34" i="1"/>
  <c r="BR34" i="1"/>
  <c r="BO34" i="1"/>
  <c r="BN34" i="1"/>
  <c r="BL34" i="1"/>
  <c r="BK34" i="1"/>
  <c r="BJ34" i="1"/>
  <c r="BH34" i="1"/>
  <c r="BG34" i="1"/>
  <c r="AP34" i="1"/>
  <c r="AJ34" i="1"/>
  <c r="AG34" i="1"/>
  <c r="AA34" i="1"/>
  <c r="X34" i="1"/>
  <c r="U34" i="1"/>
  <c r="O34" i="1"/>
  <c r="L34" i="1"/>
  <c r="J34" i="1"/>
  <c r="H34" i="1"/>
  <c r="D34" i="1"/>
  <c r="DM34" i="1" s="1"/>
  <c r="BZ33" i="1"/>
  <c r="BY33" i="1"/>
  <c r="BW33" i="1"/>
  <c r="BV33" i="1"/>
  <c r="BR33" i="1"/>
  <c r="BO33" i="1"/>
  <c r="BN33" i="1"/>
  <c r="BQ33" i="1" s="1"/>
  <c r="BH33" i="1"/>
  <c r="BG33" i="1"/>
  <c r="AP33" i="1"/>
  <c r="AJ33" i="1"/>
  <c r="AG33" i="1"/>
  <c r="AA33" i="1"/>
  <c r="X33" i="1"/>
  <c r="U33" i="1"/>
  <c r="O33" i="1"/>
  <c r="L33" i="1"/>
  <c r="H33" i="1"/>
  <c r="D33" i="1"/>
  <c r="DM33" i="1" s="1"/>
  <c r="BZ32" i="1"/>
  <c r="BY32" i="1"/>
  <c r="BW32" i="1"/>
  <c r="BR32" i="1"/>
  <c r="BO32" i="1"/>
  <c r="BN32" i="1"/>
  <c r="BQ32" i="1" s="1"/>
  <c r="BH32" i="1"/>
  <c r="BG32" i="1"/>
  <c r="AP32" i="1"/>
  <c r="AJ32" i="1"/>
  <c r="AA32" i="1"/>
  <c r="X32" i="1"/>
  <c r="U32" i="1"/>
  <c r="O32" i="1"/>
  <c r="L32" i="1"/>
  <c r="D32" i="1"/>
  <c r="DM32" i="1" s="1"/>
  <c r="BZ31" i="1"/>
  <c r="BY31" i="1"/>
  <c r="BW31" i="1"/>
  <c r="BR31" i="1"/>
  <c r="BO31" i="1"/>
  <c r="BN31" i="1"/>
  <c r="BQ31" i="1" s="1"/>
  <c r="BH31" i="1"/>
  <c r="BG31" i="1"/>
  <c r="AP31" i="1"/>
  <c r="AJ31" i="1"/>
  <c r="X31" i="1"/>
  <c r="U31" i="1"/>
  <c r="O31" i="1"/>
  <c r="L31" i="1"/>
  <c r="D31" i="1"/>
  <c r="DM31" i="1" s="1"/>
  <c r="BZ30" i="1"/>
  <c r="CA30" i="1" s="1"/>
  <c r="BY30" i="1"/>
  <c r="BW30" i="1"/>
  <c r="BR30" i="1"/>
  <c r="BO30" i="1"/>
  <c r="BN30" i="1"/>
  <c r="BQ30" i="1" s="1"/>
  <c r="BH30" i="1"/>
  <c r="BG30" i="1"/>
  <c r="X30" i="1"/>
  <c r="D30" i="1"/>
  <c r="DM30" i="1" s="1"/>
  <c r="BZ29" i="1"/>
  <c r="BY29" i="1"/>
  <c r="X29" i="1"/>
  <c r="B29" i="32"/>
  <c r="BT28" i="1"/>
  <c r="B28" i="30"/>
  <c r="DL23" i="1"/>
  <c r="BZ23" i="1"/>
  <c r="BY23" i="1"/>
  <c r="BW23" i="1"/>
  <c r="BS23" i="1"/>
  <c r="BR23" i="1"/>
  <c r="BO23" i="1"/>
  <c r="BN23" i="1"/>
  <c r="BQ23" i="1" s="1"/>
  <c r="BL23" i="1"/>
  <c r="BK23" i="1"/>
  <c r="BH23" i="1"/>
  <c r="BG23" i="1"/>
  <c r="AP23" i="1"/>
  <c r="AJ23" i="1"/>
  <c r="AG23" i="1"/>
  <c r="D23" i="1"/>
  <c r="DL22" i="1"/>
  <c r="BZ22" i="1"/>
  <c r="BY22" i="1"/>
  <c r="BW22" i="1"/>
  <c r="BR22" i="1"/>
  <c r="BO22" i="1"/>
  <c r="BN22" i="1"/>
  <c r="BL22" i="1"/>
  <c r="BK22" i="1"/>
  <c r="BJ22" i="1"/>
  <c r="BH22" i="1"/>
  <c r="BG22" i="1"/>
  <c r="AP22" i="1"/>
  <c r="AJ22" i="1"/>
  <c r="AG22" i="1"/>
  <c r="AA22" i="1"/>
  <c r="U22" i="1"/>
  <c r="O22" i="1"/>
  <c r="L22" i="1"/>
  <c r="J22" i="1"/>
  <c r="D22" i="1"/>
  <c r="DL21" i="1"/>
  <c r="BZ21" i="1"/>
  <c r="BY21" i="1"/>
  <c r="BW21" i="1"/>
  <c r="BR21" i="1"/>
  <c r="BO21" i="1"/>
  <c r="BN21" i="1"/>
  <c r="BL21" i="1"/>
  <c r="BK21" i="1"/>
  <c r="BJ21" i="1"/>
  <c r="BH21" i="1"/>
  <c r="BG21" i="1"/>
  <c r="AP21" i="1"/>
  <c r="AJ21" i="1"/>
  <c r="AG21" i="1"/>
  <c r="AA21" i="1"/>
  <c r="X21" i="1"/>
  <c r="U21" i="1"/>
  <c r="O21" i="1"/>
  <c r="L21" i="1"/>
  <c r="J21" i="1"/>
  <c r="D21" i="1"/>
  <c r="DL20" i="1"/>
  <c r="BZ20" i="1"/>
  <c r="BY20" i="1"/>
  <c r="BR20" i="1"/>
  <c r="BO20" i="1"/>
  <c r="BN20" i="1"/>
  <c r="BL20" i="1"/>
  <c r="BK20" i="1"/>
  <c r="BJ20" i="1"/>
  <c r="BJ20" i="17" s="1" a="1"/>
  <c r="BJ20" i="17" s="1"/>
  <c r="BH20" i="1"/>
  <c r="BG20" i="1"/>
  <c r="AP20" i="1"/>
  <c r="AK20" i="1"/>
  <c r="AJ20" i="1"/>
  <c r="AG20" i="1"/>
  <c r="X20" i="1"/>
  <c r="U20" i="1"/>
  <c r="O20" i="1"/>
  <c r="L20" i="1"/>
  <c r="J20" i="1"/>
  <c r="H20" i="1"/>
  <c r="DL19" i="1"/>
  <c r="AI19" i="1"/>
  <c r="AH19" i="1"/>
  <c r="AF19" i="1"/>
  <c r="AE19" i="1"/>
  <c r="AC19" i="1"/>
  <c r="AB19" i="1"/>
  <c r="Z19" i="1"/>
  <c r="Y19" i="1"/>
  <c r="W19" i="1"/>
  <c r="V19" i="1"/>
  <c r="T19" i="1"/>
  <c r="S19" i="1"/>
  <c r="I19" i="1"/>
  <c r="G19" i="1"/>
  <c r="BQ17" i="1"/>
  <c r="BQ17" i="17" s="1"/>
  <c r="BT16" i="1"/>
  <c r="BQ16" i="1"/>
  <c r="BQ16" i="17" s="1"/>
  <c r="D9" i="1"/>
  <c r="D7" i="1"/>
  <c r="B6" i="1"/>
  <c r="B5" i="1"/>
  <c r="B4" i="1"/>
  <c r="B3" i="1"/>
  <c r="B2" i="1"/>
  <c r="B1" i="1"/>
  <c r="R117" i="16" l="1"/>
  <c r="Z117" i="16"/>
  <c r="AF117" i="16"/>
  <c r="AJ117" i="16"/>
  <c r="AQ117" i="16"/>
  <c r="AU117" i="16"/>
  <c r="BB117" i="16"/>
  <c r="BQ62" i="1"/>
  <c r="BQ41" i="1"/>
  <c r="BQ43" i="1"/>
  <c r="BQ52" i="1"/>
  <c r="BQ22" i="1"/>
  <c r="BQ63" i="1"/>
  <c r="BQ65" i="1"/>
  <c r="BQ67" i="1"/>
  <c r="L25" i="17" a="1"/>
  <c r="L25" i="17" s="1"/>
  <c r="L21" i="17" a="1"/>
  <c r="L21" i="17" s="1"/>
  <c r="L24" i="17" a="1"/>
  <c r="L24" i="17" s="1"/>
  <c r="L20" i="17" a="1"/>
  <c r="L20" i="17" s="1"/>
  <c r="L27" i="17" a="1"/>
  <c r="L27" i="17" s="1"/>
  <c r="L26" i="17" a="1"/>
  <c r="L26" i="17" s="1"/>
  <c r="L23" i="17" a="1"/>
  <c r="L23" i="17" s="1"/>
  <c r="L22" i="17" a="1"/>
  <c r="L22" i="17" s="1"/>
  <c r="O25" i="17" a="1"/>
  <c r="O25" i="17" s="1"/>
  <c r="O21" i="17" a="1"/>
  <c r="O21" i="17" s="1"/>
  <c r="O22" i="17" a="1"/>
  <c r="O22" i="17" s="1"/>
  <c r="O24" i="17" a="1"/>
  <c r="O24" i="17" s="1"/>
  <c r="O20" i="17" a="1"/>
  <c r="O20" i="17" s="1"/>
  <c r="O23" i="17" a="1"/>
  <c r="O23" i="17" s="1"/>
  <c r="AP26" i="17" a="1"/>
  <c r="AP26" i="17" s="1"/>
  <c r="AP25" i="17" a="1"/>
  <c r="AP25" i="17" s="1"/>
  <c r="AP22" i="17" a="1"/>
  <c r="AP22" i="17" s="1"/>
  <c r="AP20" i="17" a="1"/>
  <c r="AP20" i="17" s="1"/>
  <c r="AP27" i="17" a="1"/>
  <c r="AP27" i="17" s="1"/>
  <c r="AP23" i="17" a="1"/>
  <c r="AP23" i="17" s="1"/>
  <c r="AP24" i="17" a="1"/>
  <c r="AP24" i="17" s="1"/>
  <c r="AP21" i="17" a="1"/>
  <c r="AP21" i="17" s="1"/>
  <c r="AO20" i="17" a="1"/>
  <c r="AO20" i="17" s="1"/>
  <c r="C28" i="13"/>
  <c r="C32" i="13"/>
  <c r="C29" i="13"/>
  <c r="C33" i="13"/>
  <c r="C30" i="13"/>
  <c r="BK26" i="17" a="1"/>
  <c r="BK26" i="17" s="1"/>
  <c r="BK22" i="17" a="1"/>
  <c r="BK22" i="17" s="1"/>
  <c r="BK25" i="17" a="1"/>
  <c r="BK25" i="17" s="1"/>
  <c r="BK21" i="17" a="1"/>
  <c r="BK21" i="17" s="1"/>
  <c r="BK24" i="17" a="1"/>
  <c r="BK24" i="17" s="1"/>
  <c r="BK20" i="17" a="1"/>
  <c r="BK20" i="17" s="1"/>
  <c r="BK23" i="17" a="1"/>
  <c r="BK23" i="17" s="1"/>
  <c r="BI51" i="1" a="1"/>
  <c r="BI51" i="1" s="1"/>
  <c r="AU51" i="1"/>
  <c r="BC51" i="1"/>
  <c r="CA68" i="1"/>
  <c r="BQ34" i="1"/>
  <c r="BQ38" i="1"/>
  <c r="BQ55" i="1"/>
  <c r="BQ59" i="1"/>
  <c r="BQ66" i="1"/>
  <c r="K51" i="1"/>
  <c r="M51" i="1" s="1"/>
  <c r="BQ20" i="1"/>
  <c r="BQ37" i="1"/>
  <c r="BQ40" i="1"/>
  <c r="BQ46" i="1"/>
  <c r="BQ49" i="1"/>
  <c r="BQ54" i="1"/>
  <c r="BQ56" i="1"/>
  <c r="BQ57" i="1"/>
  <c r="BQ61" i="1"/>
  <c r="BQ21" i="1"/>
  <c r="BQ36" i="1"/>
  <c r="BQ39" i="1"/>
  <c r="BQ53" i="1"/>
  <c r="BQ60" i="1"/>
  <c r="BQ64" i="1"/>
  <c r="BQ68" i="1"/>
  <c r="BQ69" i="1"/>
  <c r="BQ70" i="1"/>
  <c r="BQ71" i="1"/>
  <c r="BQ50" i="1"/>
  <c r="AD111" i="1"/>
  <c r="AD113" i="1" s="1"/>
  <c r="AD110" i="17"/>
  <c r="AB115" i="17"/>
  <c r="AB112" i="17"/>
  <c r="AC115" i="17"/>
  <c r="AC112" i="17"/>
  <c r="BP51" i="1"/>
  <c r="BX52" i="1"/>
  <c r="BT51" i="1"/>
  <c r="BU51" i="1" s="1"/>
  <c r="BH117" i="16"/>
  <c r="CB117" i="16"/>
  <c r="I117" i="16"/>
  <c r="M117" i="16"/>
  <c r="Q117" i="16"/>
  <c r="W117" i="16"/>
  <c r="AI117" i="16"/>
  <c r="AP117" i="16"/>
  <c r="CC117" i="16"/>
  <c r="K117" i="16"/>
  <c r="T117" i="16"/>
  <c r="AA117" i="16"/>
  <c r="AG117" i="16"/>
  <c r="AK117" i="16"/>
  <c r="AR117" i="16"/>
  <c r="AY117" i="16"/>
  <c r="BC117" i="16"/>
  <c r="BG117" i="16"/>
  <c r="BK117" i="16"/>
  <c r="AC22" i="17"/>
  <c r="AB22" i="17"/>
  <c r="V22" i="17"/>
  <c r="AI22" i="17"/>
  <c r="AH22" i="17"/>
  <c r="W22" i="17"/>
  <c r="AI24" i="17"/>
  <c r="AH24" i="17"/>
  <c r="AC24" i="17"/>
  <c r="AB24" i="17"/>
  <c r="W24" i="17"/>
  <c r="V24" i="17"/>
  <c r="AI26" i="17"/>
  <c r="AH26" i="17"/>
  <c r="AC26" i="17"/>
  <c r="AB26" i="17"/>
  <c r="V26" i="17"/>
  <c r="O26" i="17"/>
  <c r="W26" i="17"/>
  <c r="AI21" i="17"/>
  <c r="AH21" i="17"/>
  <c r="AC21" i="17"/>
  <c r="AB21" i="17"/>
  <c r="W21" i="17"/>
  <c r="V21" i="17"/>
  <c r="AI23" i="17"/>
  <c r="AH23" i="17"/>
  <c r="AC23" i="17"/>
  <c r="AB23" i="17"/>
  <c r="W23" i="17"/>
  <c r="V23" i="17"/>
  <c r="AI25" i="17"/>
  <c r="AH25" i="17"/>
  <c r="AC25" i="17"/>
  <c r="AB25" i="17"/>
  <c r="W25" i="17"/>
  <c r="V25" i="17"/>
  <c r="AI27" i="17"/>
  <c r="AH27" i="17"/>
  <c r="AC27" i="17"/>
  <c r="AB27" i="17"/>
  <c r="W27" i="17"/>
  <c r="V27" i="17"/>
  <c r="T27" i="17"/>
  <c r="O27" i="17"/>
  <c r="I27" i="17"/>
  <c r="G27" i="17"/>
  <c r="C20" i="1"/>
  <c r="C20" i="29" s="1"/>
  <c r="B84" i="32"/>
  <c r="AS132" i="16"/>
  <c r="AS137" i="16" s="1"/>
  <c r="EB20" i="16"/>
  <c r="Z19" i="19" s="1"/>
  <c r="Z29" i="19" s="1"/>
  <c r="Z39" i="19" s="1"/>
  <c r="B35" i="28"/>
  <c r="DM35" i="1"/>
  <c r="B52" i="32"/>
  <c r="DM52" i="1"/>
  <c r="B36" i="30"/>
  <c r="DM36" i="1"/>
  <c r="B43" i="45"/>
  <c r="DM43" i="1"/>
  <c r="B42" i="45"/>
  <c r="DM42" i="1"/>
  <c r="B53" i="32"/>
  <c r="DM53" i="1"/>
  <c r="BM36" i="1" a="1"/>
  <c r="BM36" i="1" s="1"/>
  <c r="BM45" i="1" a="1"/>
  <c r="BM45" i="1" s="1"/>
  <c r="BM46" i="1" a="1"/>
  <c r="BM46" i="1" s="1"/>
  <c r="BM48" i="1" a="1"/>
  <c r="BM48" i="1" s="1"/>
  <c r="BM49" i="1" a="1"/>
  <c r="BM49" i="1" s="1"/>
  <c r="BM50" i="1" a="1"/>
  <c r="BM50" i="1" s="1"/>
  <c r="BM54" i="1" a="1"/>
  <c r="BM54" i="1" s="1"/>
  <c r="BM55" i="1" a="1"/>
  <c r="BM55" i="1" s="1"/>
  <c r="BM56" i="1" a="1"/>
  <c r="BM56" i="1" s="1"/>
  <c r="BM66" i="1" a="1"/>
  <c r="BM66" i="1" s="1"/>
  <c r="BM71" i="1" a="1"/>
  <c r="BM71" i="1" s="1"/>
  <c r="BM72" i="1" a="1"/>
  <c r="BM72" i="1" s="1"/>
  <c r="BM38" i="1" a="1"/>
  <c r="BM38" i="1" s="1"/>
  <c r="BM69" i="1" a="1"/>
  <c r="BM69" i="1" s="1"/>
  <c r="BM74" i="1" a="1"/>
  <c r="BM74" i="1" s="1"/>
  <c r="C117" i="18"/>
  <c r="BM20" i="1" a="1"/>
  <c r="BM20" i="1" s="1"/>
  <c r="BM22" i="1" a="1"/>
  <c r="BM22" i="1" s="1"/>
  <c r="BM23" i="1" a="1"/>
  <c r="BM23" i="1" s="1"/>
  <c r="BM37" i="1" a="1"/>
  <c r="BM37" i="1" s="1"/>
  <c r="BM44" i="1" a="1"/>
  <c r="BM44" i="1" s="1"/>
  <c r="BM57" i="1" a="1"/>
  <c r="BM57" i="1" s="1"/>
  <c r="BM58" i="1" a="1"/>
  <c r="BM58" i="1" s="1"/>
  <c r="BM59" i="1" a="1"/>
  <c r="BM59" i="1" s="1"/>
  <c r="BM60" i="1" a="1"/>
  <c r="BM60" i="1" s="1"/>
  <c r="BM61" i="1" a="1"/>
  <c r="BM61" i="1" s="1"/>
  <c r="BM62" i="1" a="1"/>
  <c r="BM62" i="1" s="1"/>
  <c r="BM63" i="1" a="1"/>
  <c r="BM63" i="1" s="1"/>
  <c r="BM64" i="1" a="1"/>
  <c r="BM64" i="1" s="1"/>
  <c r="BM67" i="1" a="1"/>
  <c r="BM67" i="1" s="1"/>
  <c r="BM68" i="1" a="1"/>
  <c r="BM68" i="1" s="1"/>
  <c r="BM21" i="1" a="1"/>
  <c r="BM21" i="1" s="1"/>
  <c r="BM35" i="1" a="1"/>
  <c r="BM35" i="1" s="1"/>
  <c r="BM40" i="1" a="1"/>
  <c r="BM40" i="1" s="1"/>
  <c r="BM41" i="1" a="1"/>
  <c r="BM41" i="1" s="1"/>
  <c r="BM42" i="1" a="1"/>
  <c r="BM42" i="1" s="1"/>
  <c r="BM43" i="1" a="1"/>
  <c r="BM43" i="1" s="1"/>
  <c r="BM52" i="1" a="1"/>
  <c r="BM52" i="1" s="1"/>
  <c r="BM53" i="1" a="1"/>
  <c r="BM53" i="1" s="1"/>
  <c r="BM65" i="1" a="1"/>
  <c r="BM65" i="1" s="1"/>
  <c r="BM70" i="1" a="1"/>
  <c r="BM70" i="1" s="1"/>
  <c r="BM75" i="1" a="1"/>
  <c r="BM75" i="1" s="1"/>
  <c r="BM34" i="1" a="1"/>
  <c r="BM34" i="1" s="1"/>
  <c r="BM39" i="1" a="1"/>
  <c r="BM39" i="1" s="1"/>
  <c r="G110" i="17"/>
  <c r="G115" i="17" s="1"/>
  <c r="B82" i="32"/>
  <c r="B88" i="32"/>
  <c r="A19" i="19"/>
  <c r="A29" i="19" s="1"/>
  <c r="A39" i="19" s="1"/>
  <c r="A25" i="19"/>
  <c r="A35" i="19" s="1"/>
  <c r="A45" i="19" s="1"/>
  <c r="C13" i="18" s="1"/>
  <c r="A23" i="19"/>
  <c r="A33" i="19" s="1"/>
  <c r="A43" i="19" s="1"/>
  <c r="C11" i="18" s="1"/>
  <c r="AY132" i="16"/>
  <c r="AY137" i="16" s="1"/>
  <c r="A21" i="19"/>
  <c r="A31" i="19" s="1"/>
  <c r="A41" i="19" s="1"/>
  <c r="C9" i="18" s="1"/>
  <c r="BA132" i="16"/>
  <c r="BA137" i="16" s="1"/>
  <c r="CA34" i="1"/>
  <c r="BO113" i="1"/>
  <c r="BS113" i="1"/>
  <c r="BZ113" i="1"/>
  <c r="B85" i="32"/>
  <c r="BF37" i="1"/>
  <c r="AM68" i="1"/>
  <c r="C62" i="1"/>
  <c r="C62" i="30" s="1"/>
  <c r="CA33" i="1"/>
  <c r="CA35" i="1"/>
  <c r="B72" i="28"/>
  <c r="B73" i="24"/>
  <c r="B72" i="15"/>
  <c r="C72" i="28"/>
  <c r="F72" i="28" s="1"/>
  <c r="C72" i="15"/>
  <c r="B50" i="28"/>
  <c r="C46" i="28"/>
  <c r="F46" i="28" s="1"/>
  <c r="T85" i="18"/>
  <c r="B48" i="15"/>
  <c r="T86" i="18"/>
  <c r="T84" i="18"/>
  <c r="B47" i="24"/>
  <c r="B46" i="28"/>
  <c r="BQ113" i="1"/>
  <c r="BU113" i="1"/>
  <c r="J68" i="18"/>
  <c r="CA62" i="1"/>
  <c r="CA45" i="1"/>
  <c r="K26" i="1"/>
  <c r="M26" i="1" s="1"/>
  <c r="K28" i="1"/>
  <c r="K30" i="1"/>
  <c r="K24" i="1"/>
  <c r="K25" i="1"/>
  <c r="K27" i="1"/>
  <c r="K29" i="1"/>
  <c r="AU19" i="16"/>
  <c r="Q38" i="30" a="1"/>
  <c r="Q38" i="30" s="1"/>
  <c r="BF38" i="1"/>
  <c r="Q42" i="30" a="1"/>
  <c r="Q42" i="30" s="1"/>
  <c r="BF42" i="1"/>
  <c r="Q44" i="30" a="1"/>
  <c r="Q44" i="30" s="1"/>
  <c r="BF44" i="1"/>
  <c r="Q46" i="30" a="1"/>
  <c r="Q46" i="30" s="1"/>
  <c r="BF46" i="1"/>
  <c r="BF50" i="1"/>
  <c r="Q53" i="30" a="1"/>
  <c r="Q53" i="30" s="1"/>
  <c r="BF53" i="1"/>
  <c r="BF55" i="1"/>
  <c r="BF57" i="1"/>
  <c r="Q59" i="30" a="1"/>
  <c r="Q59" i="30" s="1"/>
  <c r="BF59" i="1"/>
  <c r="Q62" i="30" a="1"/>
  <c r="Q62" i="30" s="1"/>
  <c r="BF62" i="1"/>
  <c r="BF65" i="1"/>
  <c r="Q67" i="30" a="1"/>
  <c r="Q67" i="30" s="1"/>
  <c r="BF67" i="1"/>
  <c r="Q71" i="30" a="1"/>
  <c r="Q71" i="30" s="1"/>
  <c r="BF71" i="1"/>
  <c r="BF74" i="1"/>
  <c r="BF39" i="1"/>
  <c r="Q41" i="30" a="1"/>
  <c r="Q41" i="30" s="1"/>
  <c r="BF41" i="1"/>
  <c r="Q45" i="30" a="1"/>
  <c r="Q45" i="30" s="1"/>
  <c r="BF45" i="1"/>
  <c r="Q51" i="30" a="1"/>
  <c r="Q51" i="30" s="1"/>
  <c r="Q54" i="30" a="1"/>
  <c r="Q54" i="30" s="1"/>
  <c r="BF54" i="1"/>
  <c r="Q60" i="30" a="1"/>
  <c r="Q60" i="30" s="1"/>
  <c r="BF60" i="1"/>
  <c r="Q64" i="30" a="1"/>
  <c r="Q64" i="30" s="1"/>
  <c r="BF64" i="1"/>
  <c r="Q68" i="30" a="1"/>
  <c r="Q68" i="30" s="1"/>
  <c r="BF68" i="1"/>
  <c r="BF69" i="1"/>
  <c r="Q72" i="30" a="1"/>
  <c r="Q72" i="30" s="1"/>
  <c r="BF72" i="1"/>
  <c r="Q40" i="30" a="1"/>
  <c r="Q40" i="30" s="1"/>
  <c r="BF40" i="1"/>
  <c r="BF43" i="1"/>
  <c r="BF48" i="1"/>
  <c r="Q49" i="30" a="1"/>
  <c r="Q49" i="30" s="1"/>
  <c r="BF49" i="1"/>
  <c r="BF52" i="1"/>
  <c r="Q56" i="30" a="1"/>
  <c r="Q56" i="30" s="1"/>
  <c r="BF56" i="1"/>
  <c r="Q58" i="30" a="1"/>
  <c r="Q58" i="30" s="1"/>
  <c r="BF58" i="1"/>
  <c r="BF61" i="1"/>
  <c r="Q63" i="30" a="1"/>
  <c r="Q63" i="30" s="1"/>
  <c r="BF63" i="1"/>
  <c r="Q66" i="30" a="1"/>
  <c r="Q66" i="30" s="1"/>
  <c r="BF66" i="1"/>
  <c r="Q70" i="30" a="1"/>
  <c r="Q70" i="30" s="1"/>
  <c r="BF70" i="1"/>
  <c r="Q75" i="30" a="1"/>
  <c r="Q75" i="30" s="1"/>
  <c r="BF75" i="1"/>
  <c r="K23" i="1"/>
  <c r="K22" i="1"/>
  <c r="C24" i="1"/>
  <c r="C26" i="1"/>
  <c r="C26" i="14" s="1"/>
  <c r="AF26" i="14" s="1"/>
  <c r="C28" i="1"/>
  <c r="C28" i="14" s="1"/>
  <c r="C25" i="1"/>
  <c r="C25" i="30" s="1"/>
  <c r="C27" i="1"/>
  <c r="C27" i="30" s="1"/>
  <c r="AX19" i="16"/>
  <c r="AX18" i="16" s="1"/>
  <c r="AD19" i="1"/>
  <c r="AD18" i="1" s="1"/>
  <c r="J19" i="1"/>
  <c r="J18" i="1" s="1"/>
  <c r="H19" i="1"/>
  <c r="H18" i="1" s="1"/>
  <c r="AM34" i="1"/>
  <c r="AM47" i="1"/>
  <c r="AM38" i="1"/>
  <c r="AM39" i="1"/>
  <c r="AM42" i="1"/>
  <c r="AM43" i="1"/>
  <c r="AK46" i="1"/>
  <c r="AM49" i="1"/>
  <c r="AM52" i="1"/>
  <c r="AM53" i="1"/>
  <c r="AM55" i="1"/>
  <c r="AM56" i="1"/>
  <c r="AM57" i="1"/>
  <c r="AK21" i="1"/>
  <c r="AK25" i="17" s="1" a="1"/>
  <c r="AK25" i="17" s="1"/>
  <c r="Q19" i="13"/>
  <c r="AK37" i="1" s="1"/>
  <c r="AK34" i="1"/>
  <c r="AK20" i="17" s="1" a="1"/>
  <c r="AK20" i="17" s="1"/>
  <c r="AK47" i="1"/>
  <c r="AK39" i="1"/>
  <c r="AK40" i="1"/>
  <c r="AK41" i="1"/>
  <c r="AK43" i="1"/>
  <c r="AM44" i="1"/>
  <c r="AK45" i="1"/>
  <c r="AM46" i="1"/>
  <c r="AK50" i="1"/>
  <c r="AK52" i="1"/>
  <c r="AK54" i="1"/>
  <c r="AK56" i="1"/>
  <c r="AK58" i="1"/>
  <c r="AK59" i="1"/>
  <c r="AM20" i="1"/>
  <c r="S19" i="13"/>
  <c r="AM37" i="1" s="1"/>
  <c r="AL21" i="1"/>
  <c r="R19" i="13"/>
  <c r="AL37" i="1" s="1"/>
  <c r="AL34" i="1"/>
  <c r="AL47" i="1"/>
  <c r="AL39" i="1"/>
  <c r="AL40" i="1"/>
  <c r="AL41" i="1"/>
  <c r="AL42" i="1"/>
  <c r="AL43" i="1"/>
  <c r="AL45" i="1"/>
  <c r="AL46" i="1"/>
  <c r="AL49" i="1"/>
  <c r="AL50" i="1"/>
  <c r="AL52" i="1"/>
  <c r="AL53" i="1"/>
  <c r="AL54" i="1"/>
  <c r="AL55" i="1"/>
  <c r="AL56" i="1"/>
  <c r="AL57" i="1"/>
  <c r="AL58" i="1"/>
  <c r="AL59" i="1"/>
  <c r="AL61" i="1"/>
  <c r="AL62" i="1"/>
  <c r="AL63" i="1"/>
  <c r="AL64" i="1"/>
  <c r="AL65" i="1"/>
  <c r="AL66" i="1"/>
  <c r="AL67" i="1"/>
  <c r="AL68" i="1"/>
  <c r="AL73" i="1"/>
  <c r="AL69" i="1"/>
  <c r="AL70" i="1"/>
  <c r="AL71" i="1"/>
  <c r="AL72" i="1"/>
  <c r="AL76" i="1"/>
  <c r="AL75" i="1"/>
  <c r="AM58" i="1"/>
  <c r="AM59" i="1"/>
  <c r="AM60" i="1"/>
  <c r="AM61" i="1"/>
  <c r="AM62" i="1"/>
  <c r="AM63" i="1"/>
  <c r="AM64" i="1"/>
  <c r="AM65" i="1"/>
  <c r="AM66" i="1"/>
  <c r="AM67" i="1"/>
  <c r="AM69" i="1"/>
  <c r="AM70" i="1"/>
  <c r="AM71" i="1"/>
  <c r="AM72" i="1"/>
  <c r="AM76" i="1"/>
  <c r="AN76" i="1" s="1"/>
  <c r="AM75" i="1"/>
  <c r="AK60" i="1"/>
  <c r="AK61" i="1"/>
  <c r="AK62" i="1"/>
  <c r="AK63" i="1"/>
  <c r="AK64" i="1"/>
  <c r="AK65" i="1"/>
  <c r="AK66" i="1"/>
  <c r="AK67" i="1"/>
  <c r="AK68" i="1"/>
  <c r="AK73" i="1"/>
  <c r="AK69" i="1"/>
  <c r="AK70" i="1"/>
  <c r="AK71" i="1"/>
  <c r="AK72" i="1"/>
  <c r="AK76" i="1"/>
  <c r="AK75" i="1"/>
  <c r="M19" i="45"/>
  <c r="S19" i="45" s="1"/>
  <c r="U19" i="45" s="1"/>
  <c r="K117" i="18" s="1"/>
  <c r="J113" i="18"/>
  <c r="CA58" i="1"/>
  <c r="BX44" i="1"/>
  <c r="C63" i="1"/>
  <c r="C63" i="30" s="1"/>
  <c r="C74" i="1"/>
  <c r="C74" i="14" s="1"/>
  <c r="AM48" i="1"/>
  <c r="AM74" i="1"/>
  <c r="AL48" i="1"/>
  <c r="AL74" i="1"/>
  <c r="C25" i="13"/>
  <c r="AN25" i="1" s="1"/>
  <c r="AN28" i="1"/>
  <c r="C34" i="13"/>
  <c r="C38" i="13"/>
  <c r="C70" i="13"/>
  <c r="AK48" i="1"/>
  <c r="AK74" i="1"/>
  <c r="K67" i="1"/>
  <c r="AL19" i="16"/>
  <c r="N74" i="1"/>
  <c r="P74" i="1" s="1"/>
  <c r="AO74" i="1"/>
  <c r="AQ74" i="1" s="1"/>
  <c r="AO48" i="1"/>
  <c r="AQ48" i="1" s="1"/>
  <c r="N48" i="1"/>
  <c r="P48" i="1" s="1"/>
  <c r="BX70" i="1"/>
  <c r="BX30" i="1"/>
  <c r="BX31" i="1"/>
  <c r="BX59" i="1"/>
  <c r="C54" i="1"/>
  <c r="C55" i="1"/>
  <c r="C55" i="29" s="1"/>
  <c r="C71" i="1"/>
  <c r="C71" i="29" s="1"/>
  <c r="BX72" i="1"/>
  <c r="BX26" i="1"/>
  <c r="BX56" i="1"/>
  <c r="BX67" i="1"/>
  <c r="C67" i="1"/>
  <c r="C67" i="14" s="1"/>
  <c r="AG67" i="14" s="1"/>
  <c r="BX32" i="1"/>
  <c r="BX25" i="1"/>
  <c r="BX33" i="1"/>
  <c r="BX34" i="1"/>
  <c r="BX36" i="1"/>
  <c r="BX37" i="1"/>
  <c r="C41" i="1"/>
  <c r="C41" i="29" s="1"/>
  <c r="BX38" i="1"/>
  <c r="BX39" i="1"/>
  <c r="BX40" i="1"/>
  <c r="BX42" i="1"/>
  <c r="E11" i="30"/>
  <c r="AS41" i="1"/>
  <c r="AS37" i="1"/>
  <c r="AS50" i="1"/>
  <c r="AS54" i="1"/>
  <c r="AS62" i="1"/>
  <c r="E11" i="29"/>
  <c r="Q32" i="29" a="1"/>
  <c r="Q32" i="29" s="1"/>
  <c r="AS32" i="1"/>
  <c r="Q34" i="29" a="1"/>
  <c r="Q34" i="29" s="1"/>
  <c r="AS34" i="1"/>
  <c r="Q38" i="29" a="1"/>
  <c r="Q38" i="29" s="1"/>
  <c r="AS38" i="1"/>
  <c r="Q42" i="29" a="1"/>
  <c r="Q42" i="29" s="1"/>
  <c r="AS42" i="1"/>
  <c r="Q46" i="29" a="1"/>
  <c r="Q46" i="29" s="1"/>
  <c r="AS46" i="1"/>
  <c r="Q51" i="29" a="1"/>
  <c r="Q51" i="29" s="1"/>
  <c r="Q55" i="29" a="1"/>
  <c r="Q55" i="29" s="1"/>
  <c r="AS55" i="1"/>
  <c r="Q59" i="29" a="1"/>
  <c r="Q59" i="29" s="1"/>
  <c r="AS59" i="1"/>
  <c r="Q63" i="29" a="1"/>
  <c r="Q63" i="29" s="1"/>
  <c r="AS63" i="1"/>
  <c r="AS45" i="1"/>
  <c r="AS21" i="1"/>
  <c r="Q22" i="29" a="1"/>
  <c r="Q22" i="29" s="1"/>
  <c r="AS22" i="1"/>
  <c r="Q23" i="29" a="1"/>
  <c r="Q23" i="29" s="1"/>
  <c r="AS23" i="1"/>
  <c r="Q24" i="29" a="1"/>
  <c r="Q24" i="29" s="1"/>
  <c r="AS24" i="1"/>
  <c r="AS25" i="1"/>
  <c r="Q26" i="29" a="1"/>
  <c r="Q26" i="29" s="1"/>
  <c r="AS26" i="1"/>
  <c r="BI26" i="1" s="1" a="1"/>
  <c r="BI26" i="1" s="1"/>
  <c r="AS27" i="1"/>
  <c r="Q28" i="29" a="1"/>
  <c r="Q28" i="29" s="1"/>
  <c r="AS28" i="1"/>
  <c r="AS29" i="1"/>
  <c r="Q30" i="29" a="1"/>
  <c r="Q30" i="29" s="1"/>
  <c r="AS30" i="1"/>
  <c r="Q31" i="29" a="1"/>
  <c r="Q31" i="29" s="1"/>
  <c r="AS31" i="1"/>
  <c r="Q35" i="29" a="1"/>
  <c r="Q35" i="29" s="1"/>
  <c r="AS35" i="1"/>
  <c r="Q39" i="29" a="1"/>
  <c r="Q39" i="29" s="1"/>
  <c r="AS39" i="1"/>
  <c r="Q43" i="29" a="1"/>
  <c r="Q43" i="29" s="1"/>
  <c r="AS43" i="1"/>
  <c r="Q48" i="29" a="1"/>
  <c r="Q48" i="29" s="1"/>
  <c r="AS48" i="1"/>
  <c r="Q52" i="29" a="1"/>
  <c r="Q52" i="29" s="1"/>
  <c r="AS52" i="1"/>
  <c r="Q56" i="29" a="1"/>
  <c r="Q56" i="29" s="1"/>
  <c r="AS56" i="1"/>
  <c r="Q60" i="29" a="1"/>
  <c r="Q60" i="29" s="1"/>
  <c r="AS60" i="1"/>
  <c r="AS58" i="1"/>
  <c r="AS33" i="1"/>
  <c r="Q36" i="29" a="1"/>
  <c r="Q36" i="29" s="1"/>
  <c r="AS36" i="1"/>
  <c r="Q40" i="29" a="1"/>
  <c r="Q40" i="29" s="1"/>
  <c r="AS40" i="1"/>
  <c r="Q44" i="29" a="1"/>
  <c r="Q44" i="29" s="1"/>
  <c r="AS44" i="1"/>
  <c r="Q49" i="29" a="1"/>
  <c r="Q49" i="29" s="1"/>
  <c r="AS49" i="1"/>
  <c r="Q53" i="29" a="1"/>
  <c r="Q53" i="29" s="1"/>
  <c r="AS53" i="1"/>
  <c r="Q61" i="29" a="1"/>
  <c r="Q61" i="29" s="1"/>
  <c r="AS61" i="1"/>
  <c r="Q64" i="29" a="1"/>
  <c r="Q64" i="29" s="1"/>
  <c r="AS64" i="1"/>
  <c r="Q65" i="29" a="1"/>
  <c r="Q65" i="29" s="1"/>
  <c r="AS65" i="1"/>
  <c r="AS66" i="1"/>
  <c r="Q67" i="29" a="1"/>
  <c r="Q67" i="29" s="1"/>
  <c r="AS67" i="1"/>
  <c r="Q68" i="29" a="1"/>
  <c r="Q68" i="29" s="1"/>
  <c r="AS68" i="1"/>
  <c r="Q69" i="29" a="1"/>
  <c r="Q69" i="29" s="1"/>
  <c r="AS69" i="1"/>
  <c r="AS70" i="1"/>
  <c r="Q71" i="29" a="1"/>
  <c r="Q71" i="29" s="1"/>
  <c r="AS71" i="1"/>
  <c r="Q72" i="29" a="1"/>
  <c r="Q72" i="29" s="1"/>
  <c r="AS72" i="1"/>
  <c r="Q74" i="29" a="1"/>
  <c r="Q74" i="29" s="1"/>
  <c r="AS74" i="1"/>
  <c r="AS75" i="1"/>
  <c r="Q57" i="29" a="1"/>
  <c r="Q57" i="29" s="1"/>
  <c r="AS57" i="1"/>
  <c r="D19" i="29"/>
  <c r="Q19" i="29" s="1" a="1"/>
  <c r="Q19" i="29" s="1"/>
  <c r="AI19" i="16"/>
  <c r="Q20" i="29" a="1"/>
  <c r="Q20" i="29" s="1"/>
  <c r="AJ19" i="1"/>
  <c r="AJ18" i="1" s="1"/>
  <c r="Q37" i="30" a="1"/>
  <c r="Q37" i="30" s="1"/>
  <c r="D19" i="30"/>
  <c r="Q19" i="30" s="1" a="1"/>
  <c r="Q19" i="30" s="1"/>
  <c r="CA69" i="1"/>
  <c r="BT48" i="1"/>
  <c r="BU48" i="1" s="1"/>
  <c r="BX75" i="1"/>
  <c r="BX68" i="1"/>
  <c r="BX71" i="1"/>
  <c r="BX69" i="1"/>
  <c r="BX66" i="1"/>
  <c r="BX65" i="1"/>
  <c r="BX64" i="1"/>
  <c r="BX62" i="1"/>
  <c r="BX61" i="1"/>
  <c r="BX60" i="1"/>
  <c r="BX58" i="1"/>
  <c r="BX57" i="1"/>
  <c r="BX55" i="1"/>
  <c r="BX54" i="1"/>
  <c r="BX50" i="1"/>
  <c r="BX49" i="1"/>
  <c r="BX46" i="1"/>
  <c r="BX45" i="1"/>
  <c r="BX43" i="1"/>
  <c r="BX41" i="1"/>
  <c r="BX35" i="1"/>
  <c r="BX29" i="1"/>
  <c r="BX28" i="1"/>
  <c r="C65" i="1"/>
  <c r="C65" i="30" s="1"/>
  <c r="BX27" i="1"/>
  <c r="BX24" i="1"/>
  <c r="BX23" i="1"/>
  <c r="N19" i="32"/>
  <c r="CB19" i="16" s="1"/>
  <c r="BX22" i="1"/>
  <c r="D19" i="32"/>
  <c r="BX21" i="1"/>
  <c r="BS20" i="1"/>
  <c r="BT20" i="1" s="1"/>
  <c r="BU20" i="1" s="1"/>
  <c r="J19" i="32"/>
  <c r="CC19" i="16" s="1"/>
  <c r="Q66" i="29" a="1"/>
  <c r="Q66" i="29" s="1"/>
  <c r="Q50" i="30" a="1"/>
  <c r="Q50" i="30" s="1"/>
  <c r="Q55" i="30" a="1"/>
  <c r="Q55" i="30" s="1"/>
  <c r="C36" i="13"/>
  <c r="AN36" i="1" s="1"/>
  <c r="CB22" i="16"/>
  <c r="BS63" i="1"/>
  <c r="BT63" i="1" s="1"/>
  <c r="BU63" i="1" s="1"/>
  <c r="CC27" i="16"/>
  <c r="C56" i="1"/>
  <c r="C56" i="30" s="1"/>
  <c r="C39" i="1"/>
  <c r="C39" i="14" s="1"/>
  <c r="E39" i="14" s="1"/>
  <c r="C43" i="1"/>
  <c r="C43" i="30" s="1"/>
  <c r="C64" i="1"/>
  <c r="BV20" i="1"/>
  <c r="BX20" i="1" s="1"/>
  <c r="CE20" i="16"/>
  <c r="CG20" i="16" s="1"/>
  <c r="BV63" i="1"/>
  <c r="BX63" i="1" s="1"/>
  <c r="C68" i="1"/>
  <c r="C72" i="1"/>
  <c r="C72" i="14" s="1"/>
  <c r="E72" i="14" s="1"/>
  <c r="A11" i="19"/>
  <c r="AB136" i="16"/>
  <c r="AT132" i="16"/>
  <c r="AT137" i="16" s="1"/>
  <c r="C18" i="18"/>
  <c r="BM117" i="16"/>
  <c r="BB132" i="16"/>
  <c r="BB137" i="16" s="1"/>
  <c r="CO151" i="16" a="1"/>
  <c r="CO151" i="16" s="1"/>
  <c r="Z20" i="19"/>
  <c r="Z30" i="19" s="1"/>
  <c r="T8" i="18" s="1"/>
  <c r="BC135" i="16"/>
  <c r="BK19" i="16"/>
  <c r="BK18" i="16" s="1"/>
  <c r="H117" i="16"/>
  <c r="L117" i="16"/>
  <c r="P117" i="16"/>
  <c r="CD117" i="16"/>
  <c r="AT117" i="16"/>
  <c r="BF117" i="16"/>
  <c r="AU135" i="16"/>
  <c r="C22" i="18"/>
  <c r="EB24" i="16"/>
  <c r="T21" i="18" s="1"/>
  <c r="CO116" i="16" a="1"/>
  <c r="CO116" i="16" s="1"/>
  <c r="O132" i="16"/>
  <c r="O137" i="16" s="1"/>
  <c r="BF132" i="16"/>
  <c r="BF137" i="16" s="1"/>
  <c r="AY135" i="16"/>
  <c r="CO112" i="16" a="1"/>
  <c r="CO112" i="16" s="1"/>
  <c r="G117" i="16"/>
  <c r="O117" i="16"/>
  <c r="W132" i="16"/>
  <c r="W137" i="16" s="1"/>
  <c r="BB135" i="16"/>
  <c r="BG135" i="16"/>
  <c r="F136" i="16"/>
  <c r="CO152" i="16" a="1"/>
  <c r="CO152" i="16" s="1"/>
  <c r="A7" i="19"/>
  <c r="T19" i="18"/>
  <c r="Z21" i="19"/>
  <c r="Z31" i="19" s="1"/>
  <c r="T9" i="18" s="1"/>
  <c r="Z26" i="19"/>
  <c r="Z36" i="19" s="1"/>
  <c r="T14" i="18" s="1"/>
  <c r="T24" i="18"/>
  <c r="CO142" i="16" a="1"/>
  <c r="CO142" i="16" s="1"/>
  <c r="Z22" i="19"/>
  <c r="Z32" i="19" s="1"/>
  <c r="T10" i="18" s="1"/>
  <c r="T20" i="18"/>
  <c r="T23" i="18"/>
  <c r="Z25" i="19"/>
  <c r="Z35" i="19" s="1"/>
  <c r="B83" i="32"/>
  <c r="B87" i="32"/>
  <c r="F117" i="16"/>
  <c r="J117" i="16"/>
  <c r="N117" i="16"/>
  <c r="V117" i="16"/>
  <c r="AB117" i="16"/>
  <c r="AH117" i="16"/>
  <c r="AL117" i="16"/>
  <c r="AS117" i="16"/>
  <c r="AZ117" i="16"/>
  <c r="BD117" i="16"/>
  <c r="BE117" i="16"/>
  <c r="BI117" i="16"/>
  <c r="BO117" i="16"/>
  <c r="CO131" i="16" a="1"/>
  <c r="CO131" i="16" s="1"/>
  <c r="L132" i="16"/>
  <c r="L137" i="16" s="1"/>
  <c r="R132" i="16"/>
  <c r="R137" i="16" s="1"/>
  <c r="AJ132" i="16"/>
  <c r="AJ137" i="16" s="1"/>
  <c r="T18" i="18"/>
  <c r="A8" i="19"/>
  <c r="A12" i="19"/>
  <c r="A20" i="19"/>
  <c r="A30" i="19" s="1"/>
  <c r="A40" i="19" s="1"/>
  <c r="C8" i="18" s="1"/>
  <c r="A22" i="19"/>
  <c r="A32" i="19" s="1"/>
  <c r="A42" i="19" s="1"/>
  <c r="C10" i="18" s="1"/>
  <c r="A24" i="19"/>
  <c r="A34" i="19" s="1"/>
  <c r="A44" i="19" s="1"/>
  <c r="C12" i="18" s="1"/>
  <c r="A26" i="19"/>
  <c r="A36" i="19" s="1"/>
  <c r="A46" i="19" s="1"/>
  <c r="C14" i="18" s="1"/>
  <c r="I136" i="16"/>
  <c r="AG136" i="16"/>
  <c r="Z27" i="19"/>
  <c r="Z37" i="19" s="1"/>
  <c r="Z47" i="19" s="1"/>
  <c r="AE117" i="16"/>
  <c r="BA117" i="16"/>
  <c r="BL117" i="16"/>
  <c r="BB125" i="16"/>
  <c r="AS135" i="16"/>
  <c r="AZ135" i="16"/>
  <c r="BD135" i="16"/>
  <c r="BE135" i="16"/>
  <c r="C19" i="18"/>
  <c r="C21" i="18"/>
  <c r="C23" i="18"/>
  <c r="C25" i="18"/>
  <c r="A9" i="19"/>
  <c r="A13" i="19"/>
  <c r="C20" i="18"/>
  <c r="C24" i="18"/>
  <c r="CD27" i="16"/>
  <c r="CG26" i="16"/>
  <c r="A6" i="19"/>
  <c r="A10" i="19"/>
  <c r="A27" i="19"/>
  <c r="A37" i="19" s="1"/>
  <c r="A47" i="19" s="1"/>
  <c r="C15" i="18" s="1"/>
  <c r="AT113" i="1"/>
  <c r="BB113" i="1"/>
  <c r="BF113" i="1"/>
  <c r="BJ113" i="1"/>
  <c r="AR113" i="1"/>
  <c r="AV113" i="1"/>
  <c r="AZ113" i="1"/>
  <c r="BD113" i="1"/>
  <c r="BH113" i="1"/>
  <c r="BK113" i="1"/>
  <c r="CA63" i="1"/>
  <c r="AS113" i="1"/>
  <c r="BA113" i="1"/>
  <c r="BI113" i="1"/>
  <c r="BL113" i="1"/>
  <c r="BT113" i="1"/>
  <c r="CA113" i="1"/>
  <c r="AN113" i="1"/>
  <c r="BP38" i="1"/>
  <c r="AL113" i="1"/>
  <c r="C38" i="1"/>
  <c r="C38" i="30" s="1"/>
  <c r="AP113" i="1"/>
  <c r="BT34" i="1"/>
  <c r="BU34" i="1" s="1"/>
  <c r="BT68" i="1"/>
  <c r="BU68" i="1" s="1"/>
  <c r="AA19" i="1"/>
  <c r="AA18" i="1" s="1"/>
  <c r="BP29" i="1"/>
  <c r="BP43" i="1"/>
  <c r="CC112" i="1" a="1"/>
  <c r="CC112" i="1" s="1"/>
  <c r="CA64" i="1"/>
  <c r="AW113" i="1"/>
  <c r="BE113" i="1"/>
  <c r="BP113" i="1"/>
  <c r="X19" i="1"/>
  <c r="X18" i="1" s="1"/>
  <c r="CA40" i="1"/>
  <c r="CA55" i="1"/>
  <c r="N108" i="1"/>
  <c r="T108" i="1"/>
  <c r="K111" i="1"/>
  <c r="K113" i="1" s="1"/>
  <c r="X111" i="1"/>
  <c r="X113" i="1" s="1"/>
  <c r="B48" i="32"/>
  <c r="B45" i="13"/>
  <c r="B68" i="30"/>
  <c r="CA46" i="1"/>
  <c r="BT53" i="1"/>
  <c r="BU53" i="1" s="1"/>
  <c r="CA61" i="1"/>
  <c r="BT62" i="1"/>
  <c r="BU62" i="1" s="1"/>
  <c r="BT65" i="1"/>
  <c r="BU65" i="1" s="1"/>
  <c r="BP71" i="1"/>
  <c r="W108" i="1"/>
  <c r="M111" i="1"/>
  <c r="M113" i="1" s="1"/>
  <c r="Z111" i="1"/>
  <c r="Z113" i="1" s="1"/>
  <c r="BC113" i="1"/>
  <c r="BG113" i="1"/>
  <c r="BM113" i="1"/>
  <c r="BN113" i="1"/>
  <c r="BR113" i="1"/>
  <c r="BY113" i="1"/>
  <c r="B75" i="32"/>
  <c r="B54" i="13"/>
  <c r="T72" i="18"/>
  <c r="BT56" i="1"/>
  <c r="BU56" i="1" s="1"/>
  <c r="K108" i="1"/>
  <c r="X108" i="1"/>
  <c r="N111" i="1"/>
  <c r="N113" i="1" s="1"/>
  <c r="T111" i="1"/>
  <c r="T113" i="1" s="1"/>
  <c r="AG111" i="1"/>
  <c r="AG113" i="1" s="1"/>
  <c r="B41" i="32"/>
  <c r="B43" i="32"/>
  <c r="B54" i="32"/>
  <c r="B42" i="29"/>
  <c r="P41" i="1"/>
  <c r="BP42" i="1"/>
  <c r="BT43" i="1"/>
  <c r="BU43" i="1" s="1"/>
  <c r="BP67" i="1"/>
  <c r="S108" i="1"/>
  <c r="AA108" i="1"/>
  <c r="P111" i="1"/>
  <c r="P113" i="1" s="1"/>
  <c r="V111" i="1"/>
  <c r="V113" i="1" s="1"/>
  <c r="AH111" i="1"/>
  <c r="AH113" i="1" s="1"/>
  <c r="B50" i="32"/>
  <c r="B2" i="49"/>
  <c r="B2" i="48"/>
  <c r="B2" i="44"/>
  <c r="B2" i="15"/>
  <c r="B2" i="29"/>
  <c r="B2" i="45"/>
  <c r="B2" i="28"/>
  <c r="B2" i="14"/>
  <c r="B2" i="13"/>
  <c r="B2" i="32"/>
  <c r="B23" i="24"/>
  <c r="B22" i="28"/>
  <c r="B22" i="32"/>
  <c r="B22" i="45"/>
  <c r="B22" i="15"/>
  <c r="B22" i="29"/>
  <c r="B22" i="30"/>
  <c r="B33" i="24"/>
  <c r="B32" i="45"/>
  <c r="B32" i="15"/>
  <c r="B32" i="29"/>
  <c r="B32" i="28"/>
  <c r="B32" i="13"/>
  <c r="B32" i="32"/>
  <c r="B32" i="30"/>
  <c r="B21" i="49"/>
  <c r="M21" i="49" s="1"/>
  <c r="B21" i="48"/>
  <c r="B38" i="24"/>
  <c r="B37" i="29"/>
  <c r="B37" i="13"/>
  <c r="B37" i="45"/>
  <c r="B37" i="28"/>
  <c r="B37" i="15"/>
  <c r="B37" i="30"/>
  <c r="B37" i="32"/>
  <c r="T77" i="18"/>
  <c r="B1" i="49"/>
  <c r="B1" i="48"/>
  <c r="B1" i="44"/>
  <c r="B1" i="28"/>
  <c r="B1" i="29"/>
  <c r="B1" i="13"/>
  <c r="B1" i="14"/>
  <c r="B1" i="15"/>
  <c r="AP19" i="1"/>
  <c r="BZ19" i="1"/>
  <c r="DM22" i="1"/>
  <c r="B28" i="24"/>
  <c r="B27" i="13"/>
  <c r="B27" i="45"/>
  <c r="B27" i="15"/>
  <c r="B27" i="30"/>
  <c r="B27" i="29"/>
  <c r="B27" i="28"/>
  <c r="T82" i="18"/>
  <c r="B1" i="32"/>
  <c r="B22" i="13"/>
  <c r="B63" i="45"/>
  <c r="B64" i="24"/>
  <c r="B63" i="30"/>
  <c r="B63" i="15"/>
  <c r="B63" i="13"/>
  <c r="B63" i="28"/>
  <c r="B63" i="32"/>
  <c r="DM63" i="1"/>
  <c r="B63" i="29"/>
  <c r="I110" i="17"/>
  <c r="I112" i="17" s="1"/>
  <c r="I111" i="1"/>
  <c r="I113" i="1" s="1"/>
  <c r="L110" i="17"/>
  <c r="L115" i="17" s="1"/>
  <c r="L111" i="1"/>
  <c r="L113" i="1" s="1"/>
  <c r="L108" i="1"/>
  <c r="O110" i="17"/>
  <c r="O115" i="17" s="1"/>
  <c r="O111" i="1"/>
  <c r="O113" i="1" s="1"/>
  <c r="O108" i="1"/>
  <c r="U110" i="17"/>
  <c r="U115" i="17" s="1"/>
  <c r="U111" i="1"/>
  <c r="U113" i="1" s="1"/>
  <c r="U108" i="1"/>
  <c r="Y110" i="17"/>
  <c r="Y115" i="17" s="1"/>
  <c r="Y111" i="1"/>
  <c r="Y113" i="1" s="1"/>
  <c r="Y108" i="1"/>
  <c r="AC111" i="1"/>
  <c r="AC113" i="1" s="1"/>
  <c r="AC108" i="1"/>
  <c r="AE110" i="17"/>
  <c r="AE111" i="1"/>
  <c r="AE113" i="1" s="1"/>
  <c r="AI111" i="1"/>
  <c r="AI113" i="1" s="1"/>
  <c r="AI110" i="17"/>
  <c r="AI108" i="1"/>
  <c r="B27" i="32"/>
  <c r="B1" i="30"/>
  <c r="B2" i="30"/>
  <c r="T71" i="18"/>
  <c r="T78" i="18"/>
  <c r="AG19" i="1"/>
  <c r="AG18" i="1" s="1"/>
  <c r="B24" i="24"/>
  <c r="B23" i="45"/>
  <c r="B23" i="15"/>
  <c r="B23" i="30"/>
  <c r="B23" i="13"/>
  <c r="B23" i="29"/>
  <c r="B23" i="32"/>
  <c r="B23" i="28"/>
  <c r="DM23" i="1"/>
  <c r="B26" i="45"/>
  <c r="B26" i="15"/>
  <c r="B27" i="24"/>
  <c r="B26" i="13"/>
  <c r="B26" i="32"/>
  <c r="B26" i="28"/>
  <c r="B26" i="30"/>
  <c r="B31" i="24"/>
  <c r="B30" i="45"/>
  <c r="B30" i="15"/>
  <c r="B30" i="13"/>
  <c r="B30" i="28"/>
  <c r="B30" i="30"/>
  <c r="B30" i="32"/>
  <c r="B30" i="29"/>
  <c r="T94" i="18"/>
  <c r="BR19" i="1" a="1"/>
  <c r="BR19" i="1" s="1"/>
  <c r="B22" i="24"/>
  <c r="B21" i="28"/>
  <c r="B21" i="29"/>
  <c r="B21" i="45"/>
  <c r="B21" i="15"/>
  <c r="B21" i="30"/>
  <c r="B21" i="13"/>
  <c r="B21" i="32"/>
  <c r="DM21" i="1"/>
  <c r="B26" i="24"/>
  <c r="B25" i="28"/>
  <c r="B25" i="29"/>
  <c r="B25" i="13"/>
  <c r="B25" i="45"/>
  <c r="B25" i="15"/>
  <c r="B25" i="30"/>
  <c r="B25" i="32"/>
  <c r="T62" i="18"/>
  <c r="B30" i="24"/>
  <c r="B29" i="28"/>
  <c r="B29" i="29"/>
  <c r="B29" i="13"/>
  <c r="B29" i="45"/>
  <c r="B29" i="15"/>
  <c r="B29" i="30"/>
  <c r="B32" i="24"/>
  <c r="B31" i="13"/>
  <c r="B31" i="32"/>
  <c r="B31" i="45"/>
  <c r="B31" i="15"/>
  <c r="B31" i="30"/>
  <c r="B31" i="29"/>
  <c r="B31" i="28"/>
  <c r="T83" i="18"/>
  <c r="T101" i="18"/>
  <c r="B26" i="29"/>
  <c r="B1" i="45"/>
  <c r="B35" i="24"/>
  <c r="B34" i="45"/>
  <c r="B34" i="15"/>
  <c r="B34" i="13"/>
  <c r="B34" i="32"/>
  <c r="B37" i="24"/>
  <c r="B36" i="32"/>
  <c r="B36" i="45"/>
  <c r="B36" i="15"/>
  <c r="B36" i="29"/>
  <c r="B36" i="28"/>
  <c r="B36" i="13"/>
  <c r="B39" i="24"/>
  <c r="B38" i="30"/>
  <c r="B38" i="32"/>
  <c r="B38" i="45"/>
  <c r="B38" i="28"/>
  <c r="B38" i="15"/>
  <c r="B38" i="13"/>
  <c r="B40" i="24"/>
  <c r="B39" i="28"/>
  <c r="B39" i="13"/>
  <c r="B39" i="45"/>
  <c r="B39" i="15"/>
  <c r="B39" i="29"/>
  <c r="BT44" i="1"/>
  <c r="BU44" i="1" s="1"/>
  <c r="CA44" i="1"/>
  <c r="B46" i="15"/>
  <c r="B46" i="13"/>
  <c r="B46" i="45"/>
  <c r="B50" i="24"/>
  <c r="B49" i="28"/>
  <c r="B49" i="15"/>
  <c r="B49" i="29"/>
  <c r="B49" i="30"/>
  <c r="B49" i="13"/>
  <c r="B49" i="45"/>
  <c r="B52" i="24"/>
  <c r="B51" i="32"/>
  <c r="B51" i="15"/>
  <c r="B51" i="13"/>
  <c r="B51" i="45"/>
  <c r="B51" i="30"/>
  <c r="B53" i="24"/>
  <c r="B52" i="15"/>
  <c r="B52" i="30"/>
  <c r="B52" i="45"/>
  <c r="B52" i="28"/>
  <c r="B52" i="29"/>
  <c r="CA52" i="1"/>
  <c r="BP54" i="1"/>
  <c r="B56" i="24"/>
  <c r="B55" i="28"/>
  <c r="B55" i="15"/>
  <c r="B55" i="30"/>
  <c r="B55" i="13"/>
  <c r="B55" i="45"/>
  <c r="B55" i="32"/>
  <c r="B57" i="24"/>
  <c r="B56" i="45"/>
  <c r="B56" i="15"/>
  <c r="B56" i="29"/>
  <c r="B58" i="24"/>
  <c r="B57" i="45"/>
  <c r="B57" i="15"/>
  <c r="B57" i="29"/>
  <c r="B57" i="13"/>
  <c r="B57" i="30"/>
  <c r="DM58" i="1"/>
  <c r="B61" i="24"/>
  <c r="B60" i="45"/>
  <c r="B60" i="15"/>
  <c r="B60" i="29"/>
  <c r="CA60" i="1"/>
  <c r="DM60" i="1"/>
  <c r="T98" i="18" s="1"/>
  <c r="BP61" i="1"/>
  <c r="B63" i="24"/>
  <c r="B62" i="45"/>
  <c r="B62" i="29"/>
  <c r="B62" i="15"/>
  <c r="B62" i="30"/>
  <c r="B62" i="28"/>
  <c r="DM62" i="1"/>
  <c r="B65" i="24"/>
  <c r="B64" i="45"/>
  <c r="B64" i="15"/>
  <c r="B64" i="28"/>
  <c r="B64" i="29"/>
  <c r="B69" i="24"/>
  <c r="B68" i="45"/>
  <c r="B68" i="28"/>
  <c r="B68" i="15"/>
  <c r="B68" i="29"/>
  <c r="B71" i="24"/>
  <c r="B70" i="45"/>
  <c r="B70" i="28"/>
  <c r="B70" i="15"/>
  <c r="B70" i="30"/>
  <c r="B72" i="45"/>
  <c r="B72" i="29"/>
  <c r="B72" i="13"/>
  <c r="BT72" i="1"/>
  <c r="BU72" i="1" s="1"/>
  <c r="DM72" i="1"/>
  <c r="B76" i="24"/>
  <c r="B75" i="45"/>
  <c r="B75" i="28"/>
  <c r="B75" i="15"/>
  <c r="B75" i="30"/>
  <c r="B75" i="13"/>
  <c r="M112" i="17"/>
  <c r="P112" i="17"/>
  <c r="V112" i="17"/>
  <c r="Z112" i="17"/>
  <c r="G108" i="1"/>
  <c r="AD108" i="1"/>
  <c r="AF108" i="1"/>
  <c r="AJ108" i="1"/>
  <c r="H111" i="1"/>
  <c r="H113" i="1" s="1"/>
  <c r="S111" i="1"/>
  <c r="S113" i="1" s="1"/>
  <c r="W111" i="1"/>
  <c r="W113" i="1" s="1"/>
  <c r="AA111" i="1"/>
  <c r="AA113" i="1" s="1"/>
  <c r="AK113" i="1"/>
  <c r="AO113" i="1"/>
  <c r="AU113" i="1"/>
  <c r="B35" i="32"/>
  <c r="B56" i="32"/>
  <c r="B60" i="32"/>
  <c r="B62" i="32"/>
  <c r="B72" i="32"/>
  <c r="B25" i="48" s="1"/>
  <c r="B43" i="13"/>
  <c r="B52" i="13"/>
  <c r="B60" i="13"/>
  <c r="B68" i="13"/>
  <c r="B34" i="30"/>
  <c r="B46" i="30"/>
  <c r="B56" i="30"/>
  <c r="B72" i="30"/>
  <c r="B46" i="29"/>
  <c r="B34" i="28"/>
  <c r="B51" i="28"/>
  <c r="B56" i="28"/>
  <c r="B57" i="28"/>
  <c r="B24" i="32"/>
  <c r="B25" i="24"/>
  <c r="B24" i="45"/>
  <c r="B24" i="28"/>
  <c r="B24" i="15"/>
  <c r="B24" i="29"/>
  <c r="BT25" i="1"/>
  <c r="BU25" i="1" s="1"/>
  <c r="B28" i="45"/>
  <c r="B28" i="15"/>
  <c r="B28" i="29"/>
  <c r="B28" i="28"/>
  <c r="B28" i="13"/>
  <c r="T65" i="18"/>
  <c r="B34" i="24"/>
  <c r="B33" i="28"/>
  <c r="B33" i="29"/>
  <c r="B33" i="13"/>
  <c r="B33" i="32"/>
  <c r="B33" i="45"/>
  <c r="B33" i="15"/>
  <c r="B33" i="30"/>
  <c r="B36" i="24"/>
  <c r="B35" i="13"/>
  <c r="B35" i="45"/>
  <c r="B35" i="15"/>
  <c r="B35" i="30"/>
  <c r="B35" i="29"/>
  <c r="B41" i="24"/>
  <c r="B40" i="45"/>
  <c r="B40" i="15"/>
  <c r="B40" i="29"/>
  <c r="B40" i="28"/>
  <c r="B40" i="30"/>
  <c r="B40" i="13"/>
  <c r="B40" i="32"/>
  <c r="BT41" i="1"/>
  <c r="BU41" i="1" s="1"/>
  <c r="B44" i="24"/>
  <c r="B43" i="15"/>
  <c r="B43" i="28"/>
  <c r="B43" i="29"/>
  <c r="B45" i="24"/>
  <c r="B44" i="28"/>
  <c r="B44" i="15"/>
  <c r="B44" i="29"/>
  <c r="B44" i="13"/>
  <c r="B44" i="45"/>
  <c r="B44" i="30"/>
  <c r="BP44" i="1"/>
  <c r="B22" i="49"/>
  <c r="M22" i="49" s="1"/>
  <c r="B22" i="48"/>
  <c r="B49" i="24"/>
  <c r="B48" i="45"/>
  <c r="B48" i="29"/>
  <c r="B48" i="30"/>
  <c r="B51" i="24"/>
  <c r="B50" i="29"/>
  <c r="B50" i="30"/>
  <c r="B50" i="15"/>
  <c r="B50" i="45"/>
  <c r="T92" i="18"/>
  <c r="B59" i="24"/>
  <c r="B58" i="29"/>
  <c r="B58" i="45"/>
  <c r="B58" i="28"/>
  <c r="B58" i="15"/>
  <c r="B58" i="30"/>
  <c r="B67" i="24"/>
  <c r="B66" i="45"/>
  <c r="B66" i="29"/>
  <c r="B66" i="28"/>
  <c r="B66" i="15"/>
  <c r="B66" i="30"/>
  <c r="B67" i="45"/>
  <c r="B68" i="24"/>
  <c r="B67" i="28"/>
  <c r="B67" i="30"/>
  <c r="B67" i="15"/>
  <c r="B67" i="13"/>
  <c r="B67" i="29"/>
  <c r="DM67" i="1"/>
  <c r="T105" i="18" s="1"/>
  <c r="B69" i="45"/>
  <c r="B70" i="24"/>
  <c r="B69" i="28"/>
  <c r="B69" i="29"/>
  <c r="B69" i="15"/>
  <c r="B69" i="13"/>
  <c r="B69" i="30"/>
  <c r="DM69" i="1"/>
  <c r="B71" i="45"/>
  <c r="B72" i="24"/>
  <c r="B71" i="30"/>
  <c r="B71" i="13"/>
  <c r="B71" i="15"/>
  <c r="B71" i="32"/>
  <c r="B71" i="29"/>
  <c r="DM71" i="1"/>
  <c r="T110" i="18"/>
  <c r="J110" i="17"/>
  <c r="J112" i="17" s="1"/>
  <c r="J111" i="1"/>
  <c r="J113" i="1" s="1"/>
  <c r="S112" i="17"/>
  <c r="W112" i="17"/>
  <c r="AA112" i="17"/>
  <c r="AG108" i="1"/>
  <c r="B28" i="32"/>
  <c r="B44" i="32"/>
  <c r="B46" i="32"/>
  <c r="B49" i="32"/>
  <c r="B64" i="32"/>
  <c r="B66" i="32"/>
  <c r="B68" i="32"/>
  <c r="B70" i="32"/>
  <c r="B50" i="13"/>
  <c r="B58" i="13"/>
  <c r="B66" i="13"/>
  <c r="B24" i="30"/>
  <c r="B39" i="30"/>
  <c r="B60" i="30"/>
  <c r="B34" i="29"/>
  <c r="B51" i="29"/>
  <c r="B48" i="28"/>
  <c r="B71" i="28"/>
  <c r="B29" i="24"/>
  <c r="BP39" i="1"/>
  <c r="B42" i="24"/>
  <c r="B41" i="45"/>
  <c r="B41" i="29"/>
  <c r="B41" i="13"/>
  <c r="B41" i="28"/>
  <c r="B41" i="15"/>
  <c r="B41" i="30"/>
  <c r="B43" i="24"/>
  <c r="B42" i="30"/>
  <c r="B42" i="32"/>
  <c r="B42" i="28"/>
  <c r="B42" i="15"/>
  <c r="B42" i="13"/>
  <c r="T79" i="18"/>
  <c r="T81" i="18"/>
  <c r="B46" i="24"/>
  <c r="B45" i="29"/>
  <c r="B45" i="32"/>
  <c r="B45" i="28"/>
  <c r="B45" i="15"/>
  <c r="B45" i="30"/>
  <c r="B45" i="45"/>
  <c r="B54" i="24"/>
  <c r="B53" i="30"/>
  <c r="B53" i="28"/>
  <c r="B53" i="15"/>
  <c r="B53" i="29"/>
  <c r="B53" i="13"/>
  <c r="B53" i="45"/>
  <c r="CA53" i="1"/>
  <c r="B55" i="24"/>
  <c r="B54" i="29"/>
  <c r="B54" i="28"/>
  <c r="B54" i="15"/>
  <c r="B54" i="45"/>
  <c r="B54" i="30"/>
  <c r="T93" i="18"/>
  <c r="B60" i="24"/>
  <c r="B59" i="28"/>
  <c r="B59" i="30"/>
  <c r="B59" i="32"/>
  <c r="B59" i="45"/>
  <c r="B59" i="15"/>
  <c r="B59" i="13"/>
  <c r="DM59" i="1"/>
  <c r="B61" i="45"/>
  <c r="B62" i="24"/>
  <c r="B61" i="15"/>
  <c r="B61" i="29"/>
  <c r="B61" i="13"/>
  <c r="B61" i="30"/>
  <c r="B65" i="45"/>
  <c r="B66" i="24"/>
  <c r="B65" i="15"/>
  <c r="B65" i="29"/>
  <c r="B65" i="13"/>
  <c r="B65" i="28"/>
  <c r="B65" i="30"/>
  <c r="DM65" i="1"/>
  <c r="BT66" i="1"/>
  <c r="BU66" i="1" s="1"/>
  <c r="CA66" i="1"/>
  <c r="DM66" i="1"/>
  <c r="DM70" i="1"/>
  <c r="P72" i="1"/>
  <c r="B74" i="45"/>
  <c r="B75" i="24"/>
  <c r="B74" i="29"/>
  <c r="B74" i="13"/>
  <c r="B74" i="15"/>
  <c r="B74" i="32"/>
  <c r="B74" i="28"/>
  <c r="B74" i="30"/>
  <c r="BT75" i="1"/>
  <c r="BU75" i="1" s="1"/>
  <c r="DM75" i="1"/>
  <c r="T113" i="18" s="1"/>
  <c r="H115" i="17"/>
  <c r="H112" i="17"/>
  <c r="K112" i="17"/>
  <c r="N112" i="17"/>
  <c r="T112" i="17"/>
  <c r="X112" i="17"/>
  <c r="AB108" i="1"/>
  <c r="AB111" i="1"/>
  <c r="AB113" i="1" s="1"/>
  <c r="H108" i="1"/>
  <c r="M108" i="1"/>
  <c r="P108" i="1"/>
  <c r="V108" i="1"/>
  <c r="Z108" i="1"/>
  <c r="AH108" i="1"/>
  <c r="G111" i="1"/>
  <c r="G113" i="1" s="1"/>
  <c r="AF111" i="1"/>
  <c r="AF113" i="1" s="1"/>
  <c r="AJ111" i="1"/>
  <c r="AJ113" i="1" s="1"/>
  <c r="AM113" i="1"/>
  <c r="AQ113" i="1"/>
  <c r="B39" i="32"/>
  <c r="B57" i="32"/>
  <c r="B61" i="32"/>
  <c r="B24" i="13"/>
  <c r="B48" i="13"/>
  <c r="B56" i="13"/>
  <c r="B64" i="13"/>
  <c r="B43" i="30"/>
  <c r="B64" i="30"/>
  <c r="B38" i="29"/>
  <c r="B55" i="29"/>
  <c r="B70" i="29"/>
  <c r="B60" i="28"/>
  <c r="B61" i="28"/>
  <c r="BT39" i="1"/>
  <c r="BU39" i="1" s="1"/>
  <c r="BT46" i="1"/>
  <c r="BU46" i="1" s="1"/>
  <c r="BT49" i="1"/>
  <c r="BU49" i="1" s="1"/>
  <c r="BT52" i="1"/>
  <c r="BU52" i="1" s="1"/>
  <c r="BT54" i="1"/>
  <c r="BU54" i="1" s="1"/>
  <c r="BT57" i="1"/>
  <c r="BU57" i="1" s="1"/>
  <c r="BT60" i="1"/>
  <c r="BU60" i="1" s="1"/>
  <c r="BT71" i="1"/>
  <c r="BU71" i="1" s="1"/>
  <c r="P38" i="1"/>
  <c r="BT67" i="1"/>
  <c r="BU67" i="1" s="1"/>
  <c r="Q50" i="29" a="1"/>
  <c r="Q50" i="29" s="1"/>
  <c r="Q54" i="29" a="1"/>
  <c r="Q54" i="29" s="1"/>
  <c r="K33" i="1"/>
  <c r="Q25" i="29" a="1"/>
  <c r="Q25" i="29" s="1"/>
  <c r="Q75" i="29" a="1"/>
  <c r="Q75" i="29" s="1"/>
  <c r="Q70" i="29" a="1"/>
  <c r="Q70" i="29" s="1"/>
  <c r="BU28" i="1"/>
  <c r="BK19" i="1"/>
  <c r="CA31" i="1"/>
  <c r="CA32" i="1"/>
  <c r="CA54" i="1"/>
  <c r="CA56" i="1"/>
  <c r="CA57" i="1"/>
  <c r="CA70" i="1"/>
  <c r="CA71" i="1"/>
  <c r="CA49" i="1"/>
  <c r="CA50" i="1"/>
  <c r="BY19" i="1"/>
  <c r="CA29" i="1"/>
  <c r="CA38" i="1"/>
  <c r="CA39" i="1"/>
  <c r="CA41" i="1"/>
  <c r="CA43" i="1"/>
  <c r="CA48" i="1"/>
  <c r="CA67" i="1"/>
  <c r="CD26" i="16"/>
  <c r="CB24" i="16"/>
  <c r="BT26" i="1"/>
  <c r="BU26" i="1" s="1"/>
  <c r="BT37" i="1"/>
  <c r="BU37" i="1" s="1"/>
  <c r="BT50" i="1"/>
  <c r="BU50" i="1" s="1"/>
  <c r="BT55" i="1"/>
  <c r="BU55" i="1" s="1"/>
  <c r="BT70" i="1"/>
  <c r="BU70" i="1" s="1"/>
  <c r="BT22" i="1"/>
  <c r="BU22" i="1" s="1"/>
  <c r="BT24" i="1"/>
  <c r="BU24" i="1" s="1"/>
  <c r="BT36" i="1"/>
  <c r="BU36" i="1" s="1"/>
  <c r="BT38" i="1"/>
  <c r="BU38" i="1" s="1"/>
  <c r="BT42" i="1"/>
  <c r="BU42" i="1" s="1"/>
  <c r="BT45" i="1"/>
  <c r="BU45" i="1" s="1"/>
  <c r="BT59" i="1"/>
  <c r="BU59" i="1" s="1"/>
  <c r="BT40" i="1"/>
  <c r="BU40" i="1" s="1"/>
  <c r="BP45" i="1"/>
  <c r="BP50" i="1"/>
  <c r="BP52" i="1"/>
  <c r="BT64" i="1"/>
  <c r="BU64" i="1" s="1"/>
  <c r="BP70" i="1"/>
  <c r="BS74" i="1"/>
  <c r="BT74" i="1" s="1"/>
  <c r="BU74" i="1" s="1"/>
  <c r="CC22" i="16"/>
  <c r="BT58" i="1"/>
  <c r="BU58" i="1" s="1"/>
  <c r="BT61" i="1"/>
  <c r="BU61" i="1" s="1"/>
  <c r="CC24" i="16"/>
  <c r="BP40" i="1"/>
  <c r="BP63" i="1"/>
  <c r="BP64" i="1"/>
  <c r="BS69" i="1"/>
  <c r="BT69" i="1" s="1"/>
  <c r="BU69" i="1" s="1"/>
  <c r="P63" i="1"/>
  <c r="K71" i="1"/>
  <c r="K74" i="1"/>
  <c r="K75" i="1"/>
  <c r="K69" i="1"/>
  <c r="K39" i="1"/>
  <c r="K43" i="1"/>
  <c r="K48" i="1"/>
  <c r="K50" i="1"/>
  <c r="K54" i="1"/>
  <c r="AQ39" i="1"/>
  <c r="P46" i="1"/>
  <c r="P53" i="1"/>
  <c r="L19" i="1"/>
  <c r="C26" i="13"/>
  <c r="AN26" i="1" s="1"/>
  <c r="J105" i="18"/>
  <c r="J108" i="18"/>
  <c r="J109" i="18"/>
  <c r="AQ50" i="1"/>
  <c r="AQ52" i="1"/>
  <c r="K72" i="1"/>
  <c r="K68" i="1"/>
  <c r="K66" i="1"/>
  <c r="K62" i="1"/>
  <c r="K38" i="1"/>
  <c r="AQ38" i="1"/>
  <c r="AQ45" i="1"/>
  <c r="AQ37" i="1"/>
  <c r="AQ23" i="1"/>
  <c r="K40" i="1"/>
  <c r="K49" i="1"/>
  <c r="AQ75" i="1"/>
  <c r="CE27" i="16"/>
  <c r="CG27" i="16" s="1"/>
  <c r="Q27" i="29" a="1"/>
  <c r="Q27" i="29" s="1"/>
  <c r="Q33" i="29" a="1"/>
  <c r="Q33" i="29" s="1"/>
  <c r="Q45" i="29" a="1"/>
  <c r="Q45" i="29" s="1"/>
  <c r="Q41" i="29" a="1"/>
  <c r="Q41" i="29" s="1"/>
  <c r="Q58" i="29" a="1"/>
  <c r="Q58" i="29" s="1"/>
  <c r="Q62" i="29" a="1"/>
  <c r="Q62" i="29" s="1"/>
  <c r="J59" i="18"/>
  <c r="J65" i="18"/>
  <c r="J87" i="18"/>
  <c r="J89" i="18"/>
  <c r="J95" i="18"/>
  <c r="J97" i="18"/>
  <c r="J103" i="18"/>
  <c r="Q21" i="29" a="1"/>
  <c r="Q21" i="29" s="1"/>
  <c r="Q29" i="29" a="1"/>
  <c r="Q29" i="29" s="1"/>
  <c r="C24" i="13"/>
  <c r="AN24" i="1" s="1"/>
  <c r="C42" i="13"/>
  <c r="C44" i="13"/>
  <c r="C46" i="13"/>
  <c r="C49" i="13"/>
  <c r="C51" i="13"/>
  <c r="AN51" i="1" s="1"/>
  <c r="C53" i="13"/>
  <c r="C55" i="13"/>
  <c r="C57" i="13"/>
  <c r="C58" i="13"/>
  <c r="C23" i="13"/>
  <c r="AN23" i="1" s="1"/>
  <c r="C27" i="13"/>
  <c r="AN27" i="1" s="1"/>
  <c r="P65" i="1"/>
  <c r="AQ65" i="1"/>
  <c r="AQ70" i="1"/>
  <c r="AQ29" i="1"/>
  <c r="P56" i="1"/>
  <c r="P39" i="1"/>
  <c r="AQ40" i="1"/>
  <c r="K57" i="1"/>
  <c r="K58" i="1"/>
  <c r="AQ60" i="1"/>
  <c r="K61" i="1"/>
  <c r="P61" i="1"/>
  <c r="AQ61" i="1"/>
  <c r="AQ62" i="1"/>
  <c r="AQ63" i="1"/>
  <c r="AQ24" i="1"/>
  <c r="AQ25" i="1"/>
  <c r="AQ26" i="1"/>
  <c r="AQ30" i="1"/>
  <c r="K34" i="1"/>
  <c r="K37" i="1"/>
  <c r="AQ41" i="1"/>
  <c r="AQ42" i="1"/>
  <c r="P43" i="1"/>
  <c r="AQ43" i="1"/>
  <c r="AQ44" i="1"/>
  <c r="CD25" i="16"/>
  <c r="CC23" i="16"/>
  <c r="J94" i="18"/>
  <c r="J93" i="18"/>
  <c r="J88" i="18"/>
  <c r="J82" i="18"/>
  <c r="U19" i="1"/>
  <c r="U18" i="1" s="1"/>
  <c r="D19" i="14" a="1"/>
  <c r="D19" i="14" s="1"/>
  <c r="AP19" i="14" a="1"/>
  <c r="AP19" i="14" s="1"/>
  <c r="AD19" i="14"/>
  <c r="AT19" i="14"/>
  <c r="C40" i="13"/>
  <c r="C66" i="13"/>
  <c r="AN66" i="1" s="1"/>
  <c r="C60" i="13"/>
  <c r="AN60" i="1" s="1"/>
  <c r="C65" i="13"/>
  <c r="AN65" i="1" s="1"/>
  <c r="C74" i="13"/>
  <c r="C37" i="1"/>
  <c r="C37" i="14" s="1"/>
  <c r="AF37" i="14" s="1"/>
  <c r="C69" i="1"/>
  <c r="C69" i="30" s="1"/>
  <c r="C45" i="1"/>
  <c r="BV74" i="1"/>
  <c r="BX74" i="1" s="1"/>
  <c r="BP75" i="1"/>
  <c r="CE22" i="16"/>
  <c r="CG22" i="16" s="1"/>
  <c r="C51" i="1"/>
  <c r="Q37" i="29" a="1"/>
  <c r="Q37" i="29" s="1"/>
  <c r="Q39" i="30" a="1"/>
  <c r="Q39" i="30" s="1"/>
  <c r="Q43" i="30" a="1"/>
  <c r="Q43" i="30" s="1"/>
  <c r="Q48" i="30" a="1"/>
  <c r="Q48" i="30" s="1"/>
  <c r="Q52" i="30" a="1"/>
  <c r="Q52" i="30" s="1"/>
  <c r="Q57" i="30" a="1"/>
  <c r="Q57" i="30" s="1"/>
  <c r="Q61" i="30" a="1"/>
  <c r="Q61" i="30" s="1"/>
  <c r="Q65" i="30" a="1"/>
  <c r="Q65" i="30" s="1"/>
  <c r="Q69" i="30" a="1"/>
  <c r="Q69" i="30" s="1"/>
  <c r="Q74" i="30" a="1"/>
  <c r="Q74" i="30" s="1"/>
  <c r="C22" i="13"/>
  <c r="C69" i="13"/>
  <c r="C71" i="13"/>
  <c r="AN71" i="1" s="1"/>
  <c r="P24" i="1"/>
  <c r="P42" i="1"/>
  <c r="O19" i="1"/>
  <c r="AQ21" i="1"/>
  <c r="AQ27" i="1"/>
  <c r="AQ32" i="1"/>
  <c r="AQ46" i="1"/>
  <c r="AQ49" i="1"/>
  <c r="AQ55" i="1"/>
  <c r="K56" i="1"/>
  <c r="P57" i="1"/>
  <c r="AQ59" i="1"/>
  <c r="P68" i="1"/>
  <c r="P71" i="1"/>
  <c r="F19" i="14"/>
  <c r="AA19" i="14"/>
  <c r="AC19" i="14"/>
  <c r="AN19" i="14" a="1"/>
  <c r="AN19" i="14" s="1"/>
  <c r="AQ20" i="1"/>
  <c r="AM19" i="14" a="1"/>
  <c r="AM19" i="14" s="1"/>
  <c r="AR19" i="14"/>
  <c r="P31" i="1"/>
  <c r="AQ31" i="1"/>
  <c r="P33" i="1"/>
  <c r="AQ33" i="1"/>
  <c r="K42" i="1"/>
  <c r="P45" i="1"/>
  <c r="AQ56" i="1"/>
  <c r="AQ57" i="1"/>
  <c r="P60" i="1"/>
  <c r="K63" i="1"/>
  <c r="AQ67" i="1"/>
  <c r="AQ69" i="1"/>
  <c r="AQ71" i="1"/>
  <c r="AQ72" i="1"/>
  <c r="AI19" i="14" a="1"/>
  <c r="AI19" i="14" s="1"/>
  <c r="AO19" i="14" a="1"/>
  <c r="AO19" i="14" s="1"/>
  <c r="AQ19" i="14"/>
  <c r="AS19" i="14"/>
  <c r="AQ28" i="1"/>
  <c r="AQ35" i="1"/>
  <c r="AQ36" i="1"/>
  <c r="K41" i="1"/>
  <c r="AK19" i="14" a="1"/>
  <c r="AK19" i="14" s="1"/>
  <c r="AQ22" i="1"/>
  <c r="AQ34" i="1"/>
  <c r="P35" i="1"/>
  <c r="P37" i="1"/>
  <c r="P50" i="1"/>
  <c r="P52" i="1"/>
  <c r="AQ53" i="1"/>
  <c r="AQ54" i="1"/>
  <c r="P55" i="1"/>
  <c r="AQ58" i="1"/>
  <c r="P66" i="1"/>
  <c r="AQ66" i="1"/>
  <c r="AQ68" i="1"/>
  <c r="P69" i="1"/>
  <c r="K70" i="1"/>
  <c r="AJ19" i="14" a="1"/>
  <c r="AJ19" i="14" s="1"/>
  <c r="AL19" i="14" a="1"/>
  <c r="AL19" i="14" s="1"/>
  <c r="AQ64" i="1"/>
  <c r="CA22" i="1"/>
  <c r="CA21" i="1"/>
  <c r="CA20" i="1"/>
  <c r="CA23" i="1"/>
  <c r="CA36" i="1"/>
  <c r="BT30" i="1"/>
  <c r="BU30" i="1" s="1"/>
  <c r="BT32" i="1"/>
  <c r="BU32" i="1" s="1"/>
  <c r="BT21" i="1"/>
  <c r="BU21" i="1" s="1"/>
  <c r="BT31" i="1"/>
  <c r="BU31" i="1" s="1"/>
  <c r="BT23" i="1"/>
  <c r="BU23" i="1" s="1"/>
  <c r="BT27" i="1"/>
  <c r="BU27" i="1" s="1"/>
  <c r="BT29" i="1"/>
  <c r="BU29" i="1" s="1"/>
  <c r="BT33" i="1"/>
  <c r="BU33" i="1" s="1"/>
  <c r="BT35" i="1"/>
  <c r="BU35" i="1" s="1"/>
  <c r="J62" i="18"/>
  <c r="J61" i="18"/>
  <c r="BO19" i="16"/>
  <c r="BO18" i="16" s="1"/>
  <c r="BN19" i="16"/>
  <c r="BJ19" i="16"/>
  <c r="BG19" i="16"/>
  <c r="BG18" i="16" s="1"/>
  <c r="N19" i="16"/>
  <c r="K19" i="16"/>
  <c r="H19" i="16"/>
  <c r="BJ19" i="1"/>
  <c r="BP60" i="1"/>
  <c r="BP65" i="1"/>
  <c r="BP66" i="1"/>
  <c r="BP72" i="1"/>
  <c r="C21" i="48"/>
  <c r="C21" i="49"/>
  <c r="C21" i="45"/>
  <c r="C21" i="28"/>
  <c r="F21" i="28" s="1"/>
  <c r="C21" i="15"/>
  <c r="C25" i="48"/>
  <c r="C25" i="49"/>
  <c r="C25" i="45"/>
  <c r="C25" i="28"/>
  <c r="F25" i="28" s="1"/>
  <c r="C25" i="15"/>
  <c r="C32" i="28"/>
  <c r="F32" i="28" s="1"/>
  <c r="C32" i="45"/>
  <c r="C32" i="15"/>
  <c r="C35" i="45"/>
  <c r="C35" i="28"/>
  <c r="F35" i="28" s="1"/>
  <c r="C35" i="15"/>
  <c r="C44" i="45"/>
  <c r="C44" i="15"/>
  <c r="C44" i="28"/>
  <c r="F44" i="28" s="1"/>
  <c r="BP53" i="1"/>
  <c r="C20" i="49"/>
  <c r="C20" i="48"/>
  <c r="C20" i="45"/>
  <c r="C20" i="15"/>
  <c r="CC20" i="16"/>
  <c r="C24" i="49"/>
  <c r="C24" i="48"/>
  <c r="C24" i="45"/>
  <c r="C24" i="15"/>
  <c r="C24" i="28"/>
  <c r="F24" i="28" s="1"/>
  <c r="C28" i="28"/>
  <c r="F28" i="28" s="1"/>
  <c r="C28" i="45"/>
  <c r="C28" i="15"/>
  <c r="C31" i="45"/>
  <c r="C31" i="28"/>
  <c r="F31" i="28" s="1"/>
  <c r="C31" i="15"/>
  <c r="C37" i="15"/>
  <c r="C37" i="28"/>
  <c r="F37" i="28" s="1"/>
  <c r="C37" i="45"/>
  <c r="C53" i="45"/>
  <c r="C53" i="28"/>
  <c r="F53" i="28" s="1"/>
  <c r="C53" i="15"/>
  <c r="C61" i="45"/>
  <c r="C61" i="28"/>
  <c r="F61" i="28" s="1"/>
  <c r="C61" i="15"/>
  <c r="BO19" i="1"/>
  <c r="BP59" i="1"/>
  <c r="BP68" i="1"/>
  <c r="C23" i="49"/>
  <c r="C23" i="48"/>
  <c r="C23" i="45"/>
  <c r="C23" i="28"/>
  <c r="F23" i="28" s="1"/>
  <c r="C23" i="15"/>
  <c r="C27" i="49"/>
  <c r="C27" i="48"/>
  <c r="C27" i="45"/>
  <c r="C27" i="28"/>
  <c r="F27" i="28" s="1"/>
  <c r="C27" i="15"/>
  <c r="C33" i="45"/>
  <c r="C33" i="28"/>
  <c r="F33" i="28" s="1"/>
  <c r="C33" i="15"/>
  <c r="C43" i="28"/>
  <c r="F43" i="28" s="1"/>
  <c r="C43" i="45"/>
  <c r="C43" i="15"/>
  <c r="C46" i="45"/>
  <c r="C46" i="15"/>
  <c r="CB23" i="16"/>
  <c r="BP23" i="1"/>
  <c r="C22" i="49"/>
  <c r="C22" i="48"/>
  <c r="C22" i="28"/>
  <c r="F22" i="28" s="1"/>
  <c r="C22" i="15"/>
  <c r="C22" i="45"/>
  <c r="C26" i="49"/>
  <c r="C26" i="48"/>
  <c r="C26" i="15"/>
  <c r="C26" i="45"/>
  <c r="C26" i="28"/>
  <c r="F26" i="28" s="1"/>
  <c r="C29" i="45"/>
  <c r="C29" i="28"/>
  <c r="F29" i="28" s="1"/>
  <c r="C29" i="15"/>
  <c r="C36" i="28"/>
  <c r="F36" i="28" s="1"/>
  <c r="C36" i="45"/>
  <c r="C36" i="15"/>
  <c r="C39" i="45"/>
  <c r="C39" i="28"/>
  <c r="F39" i="28" s="1"/>
  <c r="C39" i="15"/>
  <c r="C40" i="28"/>
  <c r="F40" i="28" s="1"/>
  <c r="C40" i="45"/>
  <c r="C40" i="15"/>
  <c r="C41" i="45"/>
  <c r="C41" i="15"/>
  <c r="C41" i="28"/>
  <c r="F41" i="28" s="1"/>
  <c r="C42" i="15"/>
  <c r="C42" i="28"/>
  <c r="F42" i="28" s="1"/>
  <c r="C42" i="45"/>
  <c r="C49" i="45"/>
  <c r="C49" i="28"/>
  <c r="F49" i="28" s="1"/>
  <c r="C49" i="15"/>
  <c r="C57" i="45"/>
  <c r="C57" i="15"/>
  <c r="C57" i="28"/>
  <c r="F57" i="28" s="1"/>
  <c r="C48" i="15"/>
  <c r="C52" i="15"/>
  <c r="C56" i="15"/>
  <c r="C60" i="15"/>
  <c r="C64" i="15"/>
  <c r="C68" i="15"/>
  <c r="C30" i="28"/>
  <c r="F30" i="28" s="1"/>
  <c r="C34" i="28"/>
  <c r="F34" i="28" s="1"/>
  <c r="C50" i="28"/>
  <c r="F50" i="28" s="1"/>
  <c r="C60" i="28"/>
  <c r="F60" i="28" s="1"/>
  <c r="C68" i="28"/>
  <c r="F68" i="28" s="1"/>
  <c r="C71" i="28"/>
  <c r="F71" i="28" s="1"/>
  <c r="C30" i="45"/>
  <c r="C34" i="45"/>
  <c r="C48" i="45"/>
  <c r="C52" i="45"/>
  <c r="C54" i="45"/>
  <c r="C56" i="45"/>
  <c r="C60" i="45"/>
  <c r="C62" i="45"/>
  <c r="C63" i="45"/>
  <c r="C65" i="45"/>
  <c r="CG21" i="16"/>
  <c r="C65" i="15"/>
  <c r="C69" i="15"/>
  <c r="C74" i="15"/>
  <c r="C45" i="28"/>
  <c r="F45" i="28" s="1"/>
  <c r="C51" i="28"/>
  <c r="F51" i="28" s="1"/>
  <c r="C55" i="28"/>
  <c r="F55" i="28" s="1"/>
  <c r="C59" i="28"/>
  <c r="F59" i="28" s="1"/>
  <c r="C63" i="28"/>
  <c r="F63" i="28" s="1"/>
  <c r="C66" i="28"/>
  <c r="F66" i="28" s="1"/>
  <c r="C69" i="28"/>
  <c r="F69" i="28" s="1"/>
  <c r="C75" i="28"/>
  <c r="F75" i="28" s="1"/>
  <c r="C38" i="45"/>
  <c r="C55" i="45"/>
  <c r="C58" i="45"/>
  <c r="C67" i="45"/>
  <c r="C75" i="45"/>
  <c r="C45" i="15"/>
  <c r="C50" i="15"/>
  <c r="C54" i="15"/>
  <c r="C58" i="15"/>
  <c r="C62" i="15"/>
  <c r="C66" i="15"/>
  <c r="C70" i="15"/>
  <c r="C75" i="15"/>
  <c r="C38" i="28"/>
  <c r="F38" i="28" s="1"/>
  <c r="C48" i="28"/>
  <c r="F48" i="28" s="1"/>
  <c r="C64" i="28"/>
  <c r="F64" i="28" s="1"/>
  <c r="C70" i="28"/>
  <c r="F70" i="28" s="1"/>
  <c r="C45" i="45"/>
  <c r="C50" i="45"/>
  <c r="C59" i="45"/>
  <c r="C64" i="45"/>
  <c r="C66" i="45"/>
  <c r="C69" i="45"/>
  <c r="C71" i="45"/>
  <c r="B23" i="49"/>
  <c r="M23" i="49" s="1"/>
  <c r="B23" i="48"/>
  <c r="C30" i="15"/>
  <c r="C34" i="15"/>
  <c r="C38" i="15"/>
  <c r="C51" i="15"/>
  <c r="C55" i="15"/>
  <c r="C59" i="15"/>
  <c r="C63" i="15"/>
  <c r="C67" i="15"/>
  <c r="C71" i="15"/>
  <c r="C52" i="28"/>
  <c r="F52" i="28" s="1"/>
  <c r="C54" i="28"/>
  <c r="F54" i="28" s="1"/>
  <c r="C56" i="28"/>
  <c r="F56" i="28" s="1"/>
  <c r="C58" i="28"/>
  <c r="F58" i="28" s="1"/>
  <c r="C62" i="28"/>
  <c r="F62" i="28" s="1"/>
  <c r="C65" i="28"/>
  <c r="F65" i="28" s="1"/>
  <c r="C67" i="28"/>
  <c r="F67" i="28" s="1"/>
  <c r="C74" i="28"/>
  <c r="F74" i="28" s="1"/>
  <c r="C51" i="45"/>
  <c r="C68" i="45"/>
  <c r="C70" i="45"/>
  <c r="C72" i="45"/>
  <c r="C74" i="45"/>
  <c r="BL19" i="1"/>
  <c r="BP20" i="1"/>
  <c r="BP24" i="1"/>
  <c r="I5" i="18"/>
  <c r="I55" i="18" s="1"/>
  <c r="BP37" i="1"/>
  <c r="BP58" i="1"/>
  <c r="BP69" i="1"/>
  <c r="C70" i="30"/>
  <c r="C70" i="14"/>
  <c r="E70" i="14" s="1"/>
  <c r="C70" i="29"/>
  <c r="BP74" i="1"/>
  <c r="C75" i="29"/>
  <c r="C75" i="14"/>
  <c r="C75" i="30"/>
  <c r="C66" i="29"/>
  <c r="C66" i="14"/>
  <c r="C66" i="30"/>
  <c r="BP41" i="1"/>
  <c r="E74" i="14"/>
  <c r="AE74" i="14"/>
  <c r="AG74" i="14"/>
  <c r="AH74" i="14"/>
  <c r="C74" i="30"/>
  <c r="C74" i="29"/>
  <c r="AF74" i="14"/>
  <c r="CG25" i="16"/>
  <c r="CE24" i="16"/>
  <c r="CG24" i="16" s="1"/>
  <c r="BP55" i="1"/>
  <c r="J112" i="18"/>
  <c r="J91" i="18"/>
  <c r="J102" i="18"/>
  <c r="J92" i="18"/>
  <c r="S25" i="45"/>
  <c r="U25" i="45" s="1"/>
  <c r="N25" i="45"/>
  <c r="S29" i="45"/>
  <c r="U29" i="45" s="1"/>
  <c r="N29" i="45"/>
  <c r="S33" i="45"/>
  <c r="U33" i="45" s="1"/>
  <c r="N33" i="45"/>
  <c r="S48" i="45"/>
  <c r="U48" i="45" s="1"/>
  <c r="N48" i="45"/>
  <c r="S66" i="45"/>
  <c r="U66" i="45" s="1"/>
  <c r="N66" i="45"/>
  <c r="S22" i="45"/>
  <c r="U22" i="45" s="1"/>
  <c r="N22" i="45"/>
  <c r="S26" i="45"/>
  <c r="U26" i="45" s="1"/>
  <c r="N26" i="45"/>
  <c r="S30" i="45"/>
  <c r="U30" i="45" s="1"/>
  <c r="N30" i="45"/>
  <c r="S36" i="45"/>
  <c r="U36" i="45" s="1"/>
  <c r="N36" i="45"/>
  <c r="S50" i="45"/>
  <c r="U50" i="45" s="1"/>
  <c r="N50" i="45"/>
  <c r="S57" i="45"/>
  <c r="U57" i="45" s="1"/>
  <c r="N57" i="45"/>
  <c r="S60" i="45"/>
  <c r="U60" i="45" s="1"/>
  <c r="N60" i="45"/>
  <c r="S61" i="45"/>
  <c r="U61" i="45" s="1"/>
  <c r="N61" i="45"/>
  <c r="S69" i="45"/>
  <c r="U69" i="45" s="1"/>
  <c r="N69" i="45"/>
  <c r="S70" i="45"/>
  <c r="U70" i="45" s="1"/>
  <c r="N70" i="45"/>
  <c r="S71" i="45"/>
  <c r="U71" i="45" s="1"/>
  <c r="N71" i="45"/>
  <c r="N20" i="45"/>
  <c r="S23" i="45"/>
  <c r="U23" i="45" s="1"/>
  <c r="N23" i="45"/>
  <c r="S27" i="45"/>
  <c r="U27" i="45" s="1"/>
  <c r="N27" i="45"/>
  <c r="S31" i="45"/>
  <c r="U31" i="45" s="1"/>
  <c r="N31" i="45"/>
  <c r="S34" i="45"/>
  <c r="U34" i="45" s="1"/>
  <c r="N34" i="45"/>
  <c r="S37" i="45"/>
  <c r="U37" i="45" s="1"/>
  <c r="N37" i="45"/>
  <c r="S39" i="45"/>
  <c r="U39" i="45" s="1"/>
  <c r="N39" i="45"/>
  <c r="S41" i="45"/>
  <c r="U41" i="45" s="1"/>
  <c r="N41" i="45"/>
  <c r="S44" i="45"/>
  <c r="U44" i="45" s="1"/>
  <c r="N44" i="45"/>
  <c r="S51" i="45"/>
  <c r="U51" i="45" s="1"/>
  <c r="N51" i="45"/>
  <c r="S54" i="45"/>
  <c r="U54" i="45" s="1"/>
  <c r="N54" i="45"/>
  <c r="S55" i="45"/>
  <c r="U55" i="45" s="1"/>
  <c r="N55" i="45"/>
  <c r="S62" i="45"/>
  <c r="U62" i="45" s="1"/>
  <c r="N62" i="45"/>
  <c r="S64" i="45"/>
  <c r="U64" i="45" s="1"/>
  <c r="N64" i="45"/>
  <c r="S68" i="45"/>
  <c r="U68" i="45" s="1"/>
  <c r="N68" i="45"/>
  <c r="S75" i="45"/>
  <c r="U75" i="45" s="1"/>
  <c r="N75" i="45"/>
  <c r="S21" i="45"/>
  <c r="U21" i="45" s="1"/>
  <c r="N21" i="45"/>
  <c r="S42" i="45"/>
  <c r="U42" i="45" s="1"/>
  <c r="N42" i="45"/>
  <c r="S49" i="45"/>
  <c r="U49" i="45" s="1"/>
  <c r="N49" i="45"/>
  <c r="S65" i="45"/>
  <c r="U65" i="45" s="1"/>
  <c r="N65" i="45"/>
  <c r="S24" i="45"/>
  <c r="U24" i="45" s="1"/>
  <c r="N24" i="45"/>
  <c r="S28" i="45"/>
  <c r="U28" i="45" s="1"/>
  <c r="N28" i="45"/>
  <c r="S32" i="45"/>
  <c r="U32" i="45" s="1"/>
  <c r="N32" i="45"/>
  <c r="S35" i="45"/>
  <c r="U35" i="45" s="1"/>
  <c r="N35" i="45"/>
  <c r="S38" i="45"/>
  <c r="U38" i="45" s="1"/>
  <c r="N38" i="45"/>
  <c r="S40" i="45"/>
  <c r="U40" i="45" s="1"/>
  <c r="N40" i="45"/>
  <c r="S43" i="45"/>
  <c r="U43" i="45" s="1"/>
  <c r="N43" i="45"/>
  <c r="S45" i="45"/>
  <c r="U45" i="45" s="1"/>
  <c r="N45" i="45"/>
  <c r="S46" i="45"/>
  <c r="U46" i="45" s="1"/>
  <c r="N46" i="45"/>
  <c r="S52" i="45"/>
  <c r="U52" i="45" s="1"/>
  <c r="N52" i="45"/>
  <c r="S53" i="45"/>
  <c r="U53" i="45" s="1"/>
  <c r="N53" i="45"/>
  <c r="S56" i="45"/>
  <c r="U56" i="45" s="1"/>
  <c r="N56" i="45"/>
  <c r="S58" i="45"/>
  <c r="U58" i="45" s="1"/>
  <c r="N58" i="45"/>
  <c r="S59" i="45"/>
  <c r="U59" i="45" s="1"/>
  <c r="N59" i="45"/>
  <c r="S63" i="45"/>
  <c r="U63" i="45" s="1"/>
  <c r="N63" i="45"/>
  <c r="S67" i="45"/>
  <c r="U67" i="45" s="1"/>
  <c r="N67" i="45"/>
  <c r="S72" i="45"/>
  <c r="U72" i="45" s="1"/>
  <c r="N72" i="45"/>
  <c r="S74" i="45"/>
  <c r="U74" i="45" s="1"/>
  <c r="N74" i="45"/>
  <c r="H11" i="30"/>
  <c r="E40" i="28" a="1"/>
  <c r="E64" i="28" a="1"/>
  <c r="E64" i="28" s="1"/>
  <c r="X116" i="17"/>
  <c r="AN116" i="17"/>
  <c r="BB116" i="17"/>
  <c r="BP115" i="17"/>
  <c r="N116" i="17"/>
  <c r="BJ116" i="17"/>
  <c r="P116" i="17"/>
  <c r="AG116" i="17"/>
  <c r="AT116" i="17"/>
  <c r="CC117" i="17" a="1"/>
  <c r="CC117" i="17" s="1"/>
  <c r="CC111" i="17" a="1"/>
  <c r="CC111" i="17" s="1"/>
  <c r="S115" i="17"/>
  <c r="W115" i="17"/>
  <c r="AA115" i="17"/>
  <c r="AF115" i="17"/>
  <c r="AJ115" i="17"/>
  <c r="AM115" i="17"/>
  <c r="AQ115" i="17"/>
  <c r="AS115" i="17"/>
  <c r="AW115" i="17"/>
  <c r="BA115" i="17"/>
  <c r="BE115" i="17"/>
  <c r="BI115" i="17"/>
  <c r="BL115" i="17"/>
  <c r="BQ115" i="17"/>
  <c r="BY115" i="17"/>
  <c r="K116" i="17"/>
  <c r="O116" i="17"/>
  <c r="Y116" i="17"/>
  <c r="AH116" i="17"/>
  <c r="AO116" i="17"/>
  <c r="AU116" i="17"/>
  <c r="BC116" i="17"/>
  <c r="BN116" i="17"/>
  <c r="BY116" i="17"/>
  <c r="K115" i="17"/>
  <c r="N115" i="17"/>
  <c r="T115" i="17"/>
  <c r="X115" i="17"/>
  <c r="AG115" i="17"/>
  <c r="AN115" i="17"/>
  <c r="AT115" i="17"/>
  <c r="AX115" i="17"/>
  <c r="BB115" i="17"/>
  <c r="BF115" i="17"/>
  <c r="BJ115" i="17"/>
  <c r="CA115" i="17"/>
  <c r="L116" i="17"/>
  <c r="T116" i="17"/>
  <c r="AX116" i="17"/>
  <c r="BF116" i="17"/>
  <c r="BQ116" i="17"/>
  <c r="V116" i="17"/>
  <c r="Z116" i="17"/>
  <c r="AE116" i="17"/>
  <c r="AI116" i="17"/>
  <c r="AL116" i="17"/>
  <c r="AP116" i="17"/>
  <c r="AR116" i="17"/>
  <c r="AV116" i="17"/>
  <c r="AZ116" i="17"/>
  <c r="BD116" i="17"/>
  <c r="BH116" i="17"/>
  <c r="BK116" i="17"/>
  <c r="BO116" i="17"/>
  <c r="BZ116" i="17"/>
  <c r="F115" i="17"/>
  <c r="AH115" i="17"/>
  <c r="AK115" i="17"/>
  <c r="AO115" i="17"/>
  <c r="AU115" i="17"/>
  <c r="AY115" i="17"/>
  <c r="BC115" i="17"/>
  <c r="BG115" i="17"/>
  <c r="BM115" i="17"/>
  <c r="BN115" i="17"/>
  <c r="F116" i="17"/>
  <c r="M116" i="17"/>
  <c r="U116" i="17"/>
  <c r="AK116" i="17"/>
  <c r="AY116" i="17"/>
  <c r="BG116" i="17"/>
  <c r="BM116" i="17"/>
  <c r="BO115" i="17"/>
  <c r="BZ115" i="17"/>
  <c r="S116" i="17"/>
  <c r="W116" i="17"/>
  <c r="AA116" i="17"/>
  <c r="AF116" i="17"/>
  <c r="AJ116" i="17"/>
  <c r="AM116" i="17"/>
  <c r="AQ116" i="17"/>
  <c r="AS116" i="17"/>
  <c r="AW116" i="17"/>
  <c r="BA116" i="17"/>
  <c r="BE116" i="17"/>
  <c r="BI116" i="17"/>
  <c r="BL116" i="17"/>
  <c r="BP116" i="17"/>
  <c r="CA116" i="17"/>
  <c r="M115" i="17"/>
  <c r="P115" i="17"/>
  <c r="V115" i="17"/>
  <c r="Z115" i="17"/>
  <c r="AL115" i="17"/>
  <c r="AP115" i="17"/>
  <c r="AR115" i="17"/>
  <c r="AV115" i="17"/>
  <c r="AZ115" i="17"/>
  <c r="BD115" i="17"/>
  <c r="BH115" i="17"/>
  <c r="BK115" i="17"/>
  <c r="C22" i="1"/>
  <c r="C22" i="30" s="1"/>
  <c r="E63" i="28" a="1"/>
  <c r="E65" i="28" a="1"/>
  <c r="E65" i="28" s="1"/>
  <c r="E74" i="28" a="1"/>
  <c r="E74" i="28" s="1"/>
  <c r="E75" i="28" a="1"/>
  <c r="E75" i="28" s="1"/>
  <c r="E69" i="28" a="1"/>
  <c r="E55" i="28" a="1"/>
  <c r="BP35" i="1"/>
  <c r="BP32" i="1"/>
  <c r="BP31" i="1"/>
  <c r="J67" i="18"/>
  <c r="AK19" i="1"/>
  <c r="E19" i="13"/>
  <c r="D19" i="13" a="1"/>
  <c r="D19" i="13" s="1"/>
  <c r="C35" i="30"/>
  <c r="C35" i="29"/>
  <c r="C46" i="29"/>
  <c r="C46" i="14"/>
  <c r="AE46" i="14" s="1"/>
  <c r="C46" i="30"/>
  <c r="BP46" i="1"/>
  <c r="C29" i="30"/>
  <c r="BP48" i="1"/>
  <c r="C40" i="1"/>
  <c r="C42" i="1"/>
  <c r="C48" i="1"/>
  <c r="C49" i="1"/>
  <c r="C50" i="1"/>
  <c r="C52" i="1"/>
  <c r="C53" i="1"/>
  <c r="C57" i="1"/>
  <c r="C58" i="1"/>
  <c r="C59" i="1"/>
  <c r="C60" i="1"/>
  <c r="C61" i="1"/>
  <c r="C33" i="29"/>
  <c r="C33" i="30"/>
  <c r="C21" i="1"/>
  <c r="C21" i="14" s="1"/>
  <c r="BP30" i="1"/>
  <c r="BP33" i="1"/>
  <c r="C44" i="14"/>
  <c r="E44" i="14" s="1"/>
  <c r="C44" i="30"/>
  <c r="BP49" i="1"/>
  <c r="BP56" i="1"/>
  <c r="BP62" i="1"/>
  <c r="CE23" i="16"/>
  <c r="CG23" i="16" s="1"/>
  <c r="BV53" i="1"/>
  <c r="BX53" i="1" s="1"/>
  <c r="C34" i="1"/>
  <c r="C34" i="30" s="1"/>
  <c r="BV48" i="1"/>
  <c r="BX48" i="1" s="1"/>
  <c r="BP57" i="1"/>
  <c r="C44" i="29"/>
  <c r="K45" i="1"/>
  <c r="K46" i="1"/>
  <c r="K31" i="1"/>
  <c r="K35" i="1"/>
  <c r="C43" i="13"/>
  <c r="AN43" i="1" s="1"/>
  <c r="C45" i="13"/>
  <c r="AN45" i="1" s="1"/>
  <c r="C48" i="13"/>
  <c r="C50" i="13"/>
  <c r="AN50" i="1" s="1"/>
  <c r="C52" i="13"/>
  <c r="AN52" i="1" s="1"/>
  <c r="C54" i="13"/>
  <c r="AN54" i="1" s="1"/>
  <c r="C56" i="13"/>
  <c r="AN56" i="1" s="1"/>
  <c r="C35" i="13"/>
  <c r="C37" i="13"/>
  <c r="C39" i="13"/>
  <c r="C62" i="13"/>
  <c r="C63" i="13"/>
  <c r="C64" i="13"/>
  <c r="AN64" i="1" s="1"/>
  <c r="C68" i="13"/>
  <c r="C75" i="13"/>
  <c r="C20" i="13"/>
  <c r="C21" i="13"/>
  <c r="C41" i="13"/>
  <c r="AN41" i="1" s="1"/>
  <c r="C59" i="13"/>
  <c r="C67" i="13"/>
  <c r="C61" i="13"/>
  <c r="C72" i="13"/>
  <c r="AL20" i="1"/>
  <c r="P75" i="1"/>
  <c r="P59" i="1"/>
  <c r="K55" i="1"/>
  <c r="G11" i="30"/>
  <c r="F11" i="29"/>
  <c r="G11" i="29"/>
  <c r="H11" i="29"/>
  <c r="F11" i="30"/>
  <c r="P32" i="1"/>
  <c r="P36" i="1"/>
  <c r="P64" i="1"/>
  <c r="P67" i="1"/>
  <c r="P70" i="1"/>
  <c r="K53" i="1"/>
  <c r="K60" i="1"/>
  <c r="K65" i="1"/>
  <c r="K44" i="1"/>
  <c r="K59" i="1"/>
  <c r="P22" i="1"/>
  <c r="P23" i="1"/>
  <c r="P34" i="1"/>
  <c r="K36" i="1"/>
  <c r="P40" i="1"/>
  <c r="P54" i="1"/>
  <c r="P49" i="1"/>
  <c r="P58" i="1"/>
  <c r="K52" i="1"/>
  <c r="K20" i="1"/>
  <c r="K21" i="1"/>
  <c r="P62" i="1"/>
  <c r="K32" i="1"/>
  <c r="P44" i="1"/>
  <c r="K64" i="1"/>
  <c r="C36" i="29"/>
  <c r="C36" i="30"/>
  <c r="C36" i="14"/>
  <c r="BP36" i="1"/>
  <c r="C35" i="14"/>
  <c r="BP34" i="1"/>
  <c r="C33" i="14"/>
  <c r="C32" i="1"/>
  <c r="C31" i="30"/>
  <c r="C31" i="29"/>
  <c r="C31" i="14"/>
  <c r="C30" i="1"/>
  <c r="BP28" i="1"/>
  <c r="BP27" i="1"/>
  <c r="C27" i="29"/>
  <c r="BP26" i="1"/>
  <c r="BP25" i="1"/>
  <c r="C23" i="1"/>
  <c r="BP22" i="1"/>
  <c r="BN19" i="1"/>
  <c r="BP21" i="1"/>
  <c r="M11" i="30"/>
  <c r="M11" i="29"/>
  <c r="S56" i="29" s="1" a="1"/>
  <c r="P82" i="15"/>
  <c r="R82" i="15"/>
  <c r="T82" i="15"/>
  <c r="N82" i="15"/>
  <c r="DL25" i="17"/>
  <c r="CF19" i="16"/>
  <c r="DL21" i="17"/>
  <c r="CO127" i="16" a="1"/>
  <c r="CO127" i="16" s="1"/>
  <c r="DK21" i="17"/>
  <c r="CO122" i="16" a="1"/>
  <c r="CO122" i="16" s="1"/>
  <c r="CO126" i="16" a="1"/>
  <c r="CO126" i="16" s="1"/>
  <c r="DK20" i="17"/>
  <c r="DK24" i="17"/>
  <c r="DL22" i="17"/>
  <c r="DK23" i="17"/>
  <c r="DL26" i="17"/>
  <c r="DL23" i="17"/>
  <c r="DL24" i="17"/>
  <c r="DK25" i="17"/>
  <c r="DK22" i="17"/>
  <c r="DL27" i="17"/>
  <c r="DK26" i="17"/>
  <c r="C34" i="18"/>
  <c r="P21" i="1"/>
  <c r="P20" i="1"/>
  <c r="AA67" i="15" l="1"/>
  <c r="AF67" i="15" s="1"/>
  <c r="AC67" i="15"/>
  <c r="AH67" i="15" s="1"/>
  <c r="AB67" i="15"/>
  <c r="AG67" i="15" s="1"/>
  <c r="AD67" i="15"/>
  <c r="AI67" i="15" s="1"/>
  <c r="AC51" i="15"/>
  <c r="AH51" i="15" s="1"/>
  <c r="AD51" i="15"/>
  <c r="AI51" i="15" s="1"/>
  <c r="AA51" i="15"/>
  <c r="AF51" i="15" s="1"/>
  <c r="AB51" i="15"/>
  <c r="AG51" i="15" s="1"/>
  <c r="AD75" i="15"/>
  <c r="AI75" i="15" s="1"/>
  <c r="AC75" i="15"/>
  <c r="AH75" i="15" s="1"/>
  <c r="AB75" i="15"/>
  <c r="AG75" i="15" s="1"/>
  <c r="AA75" i="15"/>
  <c r="AF75" i="15" s="1"/>
  <c r="O76" i="24" s="1"/>
  <c r="AC58" i="15"/>
  <c r="AH58" i="15" s="1"/>
  <c r="AD58" i="15"/>
  <c r="AI58" i="15" s="1"/>
  <c r="AB58" i="15"/>
  <c r="AG58" i="15" s="1"/>
  <c r="AA58" i="15"/>
  <c r="AF58" i="15" s="1"/>
  <c r="O59" i="24" s="1"/>
  <c r="AC69" i="15"/>
  <c r="AH69" i="15" s="1"/>
  <c r="AD69" i="15"/>
  <c r="AI69" i="15" s="1"/>
  <c r="AB69" i="15"/>
  <c r="AG69" i="15" s="1"/>
  <c r="AA69" i="15"/>
  <c r="AF69" i="15" s="1"/>
  <c r="O70" i="24" s="1"/>
  <c r="AC56" i="15"/>
  <c r="AH56" i="15" s="1"/>
  <c r="AD56" i="15"/>
  <c r="AI56" i="15" s="1"/>
  <c r="AA56" i="15"/>
  <c r="AF56" i="15" s="1"/>
  <c r="AB56" i="15"/>
  <c r="AG56" i="15" s="1"/>
  <c r="AD49" i="15"/>
  <c r="AI49" i="15" s="1"/>
  <c r="AC49" i="15"/>
  <c r="AH49" i="15" s="1"/>
  <c r="AB49" i="15"/>
  <c r="AG49" i="15" s="1"/>
  <c r="AA49" i="15"/>
  <c r="AF49" i="15" s="1"/>
  <c r="O50" i="24" s="1"/>
  <c r="AC40" i="15"/>
  <c r="AH40" i="15" s="1"/>
  <c r="AB40" i="15"/>
  <c r="AG40" i="15" s="1"/>
  <c r="AA40" i="15"/>
  <c r="AF40" i="15" s="1"/>
  <c r="AD40" i="15"/>
  <c r="AI40" i="15" s="1"/>
  <c r="AC36" i="15"/>
  <c r="AH36" i="15" s="1"/>
  <c r="AA36" i="15"/>
  <c r="AF36" i="15" s="1"/>
  <c r="AB36" i="15"/>
  <c r="AG36" i="15" s="1"/>
  <c r="AD36" i="15"/>
  <c r="AI36" i="15" s="1"/>
  <c r="AC29" i="15"/>
  <c r="AH29" i="15" s="1"/>
  <c r="AD29" i="15"/>
  <c r="AI29" i="15" s="1"/>
  <c r="AB29" i="15"/>
  <c r="AG29" i="15" s="1"/>
  <c r="AA29" i="15"/>
  <c r="AF29" i="15" s="1"/>
  <c r="O30" i="24" s="1"/>
  <c r="AC43" i="15"/>
  <c r="AH43" i="15" s="1"/>
  <c r="AB43" i="15"/>
  <c r="AG43" i="15" s="1"/>
  <c r="AD43" i="15"/>
  <c r="AI43" i="15" s="1"/>
  <c r="AA43" i="15"/>
  <c r="AF43" i="15" s="1"/>
  <c r="O44" i="24" s="1"/>
  <c r="AC27" i="15"/>
  <c r="AH27" i="15" s="1"/>
  <c r="AD27" i="15"/>
  <c r="AI27" i="15" s="1"/>
  <c r="AB27" i="15"/>
  <c r="AG27" i="15" s="1"/>
  <c r="AA27" i="15"/>
  <c r="AF27" i="15" s="1"/>
  <c r="O28" i="24" s="1"/>
  <c r="AC61" i="15"/>
  <c r="AH61" i="15" s="1"/>
  <c r="AA61" i="15"/>
  <c r="AF61" i="15" s="1"/>
  <c r="AB61" i="15"/>
  <c r="AG61" i="15" s="1"/>
  <c r="AD61" i="15"/>
  <c r="AI61" i="15" s="1"/>
  <c r="AB53" i="15"/>
  <c r="AG53" i="15" s="1"/>
  <c r="AC53" i="15"/>
  <c r="AH53" i="15" s="1"/>
  <c r="AA53" i="15"/>
  <c r="AF53" i="15" s="1"/>
  <c r="AD53" i="15"/>
  <c r="AI53" i="15" s="1"/>
  <c r="AA28" i="15"/>
  <c r="AF28" i="15" s="1"/>
  <c r="AD28" i="15"/>
  <c r="AI28" i="15" s="1"/>
  <c r="AC28" i="15"/>
  <c r="AH28" i="15" s="1"/>
  <c r="AB28" i="15"/>
  <c r="AG28" i="15" s="1"/>
  <c r="E28" i="15" s="1"/>
  <c r="D28" i="15" s="1"/>
  <c r="AC35" i="15"/>
  <c r="AH35" i="15" s="1"/>
  <c r="AD35" i="15"/>
  <c r="AI35" i="15" s="1"/>
  <c r="AB35" i="15"/>
  <c r="AG35" i="15" s="1"/>
  <c r="AA35" i="15"/>
  <c r="AF35" i="15" s="1"/>
  <c r="O36" i="24" s="1"/>
  <c r="AC71" i="15"/>
  <c r="AH71" i="15" s="1"/>
  <c r="AD71" i="15"/>
  <c r="AI71" i="15" s="1"/>
  <c r="AA71" i="15"/>
  <c r="AF71" i="15" s="1"/>
  <c r="AB71" i="15"/>
  <c r="AG71" i="15" s="1"/>
  <c r="AB55" i="15"/>
  <c r="AG55" i="15" s="1"/>
  <c r="AD55" i="15"/>
  <c r="AI55" i="15" s="1"/>
  <c r="AC55" i="15"/>
  <c r="AH55" i="15" s="1"/>
  <c r="AA55" i="15"/>
  <c r="AF55" i="15" s="1"/>
  <c r="O56" i="24" s="1"/>
  <c r="AC30" i="15"/>
  <c r="AH30" i="15" s="1"/>
  <c r="AD30" i="15"/>
  <c r="AI30" i="15" s="1"/>
  <c r="AA30" i="15"/>
  <c r="AF30" i="15" s="1"/>
  <c r="AB30" i="15"/>
  <c r="AG30" i="15" s="1"/>
  <c r="AC62" i="15"/>
  <c r="AH62" i="15" s="1"/>
  <c r="AB62" i="15"/>
  <c r="AG62" i="15" s="1"/>
  <c r="AA62" i="15"/>
  <c r="AF62" i="15" s="1"/>
  <c r="AD62" i="15"/>
  <c r="AI62" i="15" s="1"/>
  <c r="AB45" i="15"/>
  <c r="AG45" i="15" s="1"/>
  <c r="AD45" i="15"/>
  <c r="AI45" i="15" s="1"/>
  <c r="AC45" i="15"/>
  <c r="AH45" i="15" s="1"/>
  <c r="AA45" i="15"/>
  <c r="AF45" i="15" s="1"/>
  <c r="O46" i="24" s="1"/>
  <c r="AC74" i="15"/>
  <c r="AH74" i="15" s="1"/>
  <c r="AB74" i="15"/>
  <c r="AG74" i="15" s="1"/>
  <c r="AD74" i="15"/>
  <c r="AI74" i="15" s="1"/>
  <c r="AA74" i="15"/>
  <c r="AF74" i="15" s="1"/>
  <c r="O75" i="24" s="1"/>
  <c r="AC60" i="15"/>
  <c r="AH60" i="15" s="1"/>
  <c r="AB60" i="15"/>
  <c r="AG60" i="15" s="1"/>
  <c r="AD60" i="15"/>
  <c r="AI60" i="15" s="1"/>
  <c r="AA60" i="15"/>
  <c r="AF60" i="15" s="1"/>
  <c r="O61" i="24" s="1"/>
  <c r="AA39" i="15"/>
  <c r="AF39" i="15" s="1"/>
  <c r="AB39" i="15"/>
  <c r="AG39" i="15" s="1"/>
  <c r="AC39" i="15"/>
  <c r="AH39" i="15" s="1"/>
  <c r="AD39" i="15"/>
  <c r="AI39" i="15" s="1"/>
  <c r="AA22" i="15"/>
  <c r="AF22" i="15" s="1"/>
  <c r="AC22" i="15"/>
  <c r="AH22" i="15" s="1"/>
  <c r="AB22" i="15"/>
  <c r="AG22" i="15" s="1"/>
  <c r="AD22" i="15"/>
  <c r="AI22" i="15" s="1"/>
  <c r="AA31" i="15"/>
  <c r="AF31" i="15" s="1"/>
  <c r="AC31" i="15"/>
  <c r="AH31" i="15" s="1"/>
  <c r="AB31" i="15"/>
  <c r="AG31" i="15" s="1"/>
  <c r="AD31" i="15"/>
  <c r="AI31" i="15" s="1"/>
  <c r="AA21" i="15"/>
  <c r="AF21" i="15" s="1"/>
  <c r="AC21" i="15"/>
  <c r="AH21" i="15" s="1"/>
  <c r="AB21" i="15"/>
  <c r="AG21" i="15" s="1"/>
  <c r="AD21" i="15"/>
  <c r="AI21" i="15" s="1"/>
  <c r="AC72" i="15"/>
  <c r="AH72" i="15" s="1"/>
  <c r="AB72" i="15"/>
  <c r="AG72" i="15" s="1"/>
  <c r="AD72" i="15"/>
  <c r="AI72" i="15" s="1"/>
  <c r="AA72" i="15"/>
  <c r="AF72" i="15" s="1"/>
  <c r="O73" i="24" s="1"/>
  <c r="AB63" i="15"/>
  <c r="AG63" i="15" s="1"/>
  <c r="AA63" i="15"/>
  <c r="AF63" i="15" s="1"/>
  <c r="AC63" i="15"/>
  <c r="AH63" i="15" s="1"/>
  <c r="AD63" i="15"/>
  <c r="AI63" i="15" s="1"/>
  <c r="AC38" i="15"/>
  <c r="AH38" i="15" s="1"/>
  <c r="AA38" i="15"/>
  <c r="AF38" i="15" s="1"/>
  <c r="AB38" i="15"/>
  <c r="AG38" i="15" s="1"/>
  <c r="AD38" i="15"/>
  <c r="AI38" i="15" s="1"/>
  <c r="AC70" i="15"/>
  <c r="AH70" i="15" s="1"/>
  <c r="AA70" i="15"/>
  <c r="AF70" i="15" s="1"/>
  <c r="AD70" i="15"/>
  <c r="AI70" i="15" s="1"/>
  <c r="AB70" i="15"/>
  <c r="AG70" i="15" s="1"/>
  <c r="AC54" i="15"/>
  <c r="AH54" i="15" s="1"/>
  <c r="AB54" i="15"/>
  <c r="AG54" i="15" s="1"/>
  <c r="AA54" i="15"/>
  <c r="AF54" i="15" s="1"/>
  <c r="AD54" i="15"/>
  <c r="AI54" i="15" s="1"/>
  <c r="AC65" i="15"/>
  <c r="AH65" i="15" s="1"/>
  <c r="AA65" i="15"/>
  <c r="AF65" i="15" s="1"/>
  <c r="AB65" i="15"/>
  <c r="AG65" i="15" s="1"/>
  <c r="AD65" i="15"/>
  <c r="AI65" i="15" s="1"/>
  <c r="AC68" i="15"/>
  <c r="AH68" i="15" s="1"/>
  <c r="AB68" i="15"/>
  <c r="AG68" i="15" s="1"/>
  <c r="AA68" i="15"/>
  <c r="AF68" i="15" s="1"/>
  <c r="AD68" i="15"/>
  <c r="AI68" i="15" s="1"/>
  <c r="AC52" i="15"/>
  <c r="AH52" i="15" s="1"/>
  <c r="AB52" i="15"/>
  <c r="AG52" i="15" s="1"/>
  <c r="AA52" i="15"/>
  <c r="AF52" i="15" s="1"/>
  <c r="AD52" i="15"/>
  <c r="AI52" i="15" s="1"/>
  <c r="AC57" i="15"/>
  <c r="AH57" i="15" s="1"/>
  <c r="AA57" i="15"/>
  <c r="AF57" i="15" s="1"/>
  <c r="AD57" i="15"/>
  <c r="AI57" i="15" s="1"/>
  <c r="AB57" i="15"/>
  <c r="AG57" i="15" s="1"/>
  <c r="AB41" i="15"/>
  <c r="AG41" i="15" s="1"/>
  <c r="AA41" i="15"/>
  <c r="AF41" i="15" s="1"/>
  <c r="AD41" i="15"/>
  <c r="AI41" i="15" s="1"/>
  <c r="AC41" i="15"/>
  <c r="AH41" i="15" s="1"/>
  <c r="AC33" i="15"/>
  <c r="AH33" i="15" s="1"/>
  <c r="AB33" i="15"/>
  <c r="AG33" i="15" s="1"/>
  <c r="AA33" i="15"/>
  <c r="AF33" i="15" s="1"/>
  <c r="AD33" i="15"/>
  <c r="AI33" i="15" s="1"/>
  <c r="AA24" i="15"/>
  <c r="AF24" i="15" s="1"/>
  <c r="AC24" i="15"/>
  <c r="AH24" i="15" s="1"/>
  <c r="AB24" i="15"/>
  <c r="AG24" i="15" s="1"/>
  <c r="AD24" i="15"/>
  <c r="AI24" i="15" s="1"/>
  <c r="AC32" i="15"/>
  <c r="AH32" i="15" s="1"/>
  <c r="AA32" i="15"/>
  <c r="AF32" i="15" s="1"/>
  <c r="AD32" i="15"/>
  <c r="AI32" i="15" s="1"/>
  <c r="AB32" i="15"/>
  <c r="AG32" i="15" s="1"/>
  <c r="AA25" i="15"/>
  <c r="AF25" i="15" s="1"/>
  <c r="AC25" i="15"/>
  <c r="AH25" i="15" s="1"/>
  <c r="AB25" i="15"/>
  <c r="AG25" i="15" s="1"/>
  <c r="AD25" i="15"/>
  <c r="AI25" i="15" s="1"/>
  <c r="AD59" i="15"/>
  <c r="AI59" i="15" s="1"/>
  <c r="AB59" i="15"/>
  <c r="AG59" i="15" s="1"/>
  <c r="AC59" i="15"/>
  <c r="AH59" i="15" s="1"/>
  <c r="AA59" i="15"/>
  <c r="AF59" i="15" s="1"/>
  <c r="O60" i="24" s="1"/>
  <c r="AD34" i="15"/>
  <c r="AI34" i="15" s="1"/>
  <c r="AC34" i="15"/>
  <c r="AH34" i="15" s="1"/>
  <c r="AB34" i="15"/>
  <c r="AG34" i="15" s="1"/>
  <c r="AA34" i="15"/>
  <c r="AF34" i="15" s="1"/>
  <c r="O35" i="24" s="1"/>
  <c r="AC66" i="15"/>
  <c r="AH66" i="15" s="1"/>
  <c r="AD66" i="15"/>
  <c r="AI66" i="15" s="1"/>
  <c r="AA66" i="15"/>
  <c r="AF66" i="15" s="1"/>
  <c r="AB66" i="15"/>
  <c r="AG66" i="15" s="1"/>
  <c r="AC50" i="15"/>
  <c r="AH50" i="15" s="1"/>
  <c r="AD50" i="15"/>
  <c r="AI50" i="15" s="1"/>
  <c r="AB50" i="15"/>
  <c r="AG50" i="15" s="1"/>
  <c r="AA50" i="15"/>
  <c r="AF50" i="15" s="1"/>
  <c r="O51" i="24" s="1"/>
  <c r="AC64" i="15"/>
  <c r="AH64" i="15" s="1"/>
  <c r="AB64" i="15"/>
  <c r="AG64" i="15" s="1"/>
  <c r="AD64" i="15"/>
  <c r="AI64" i="15" s="1"/>
  <c r="AA64" i="15"/>
  <c r="AF64" i="15" s="1"/>
  <c r="O65" i="24" s="1"/>
  <c r="AC48" i="15"/>
  <c r="AH48" i="15" s="1"/>
  <c r="AB48" i="15"/>
  <c r="AG48" i="15" s="1"/>
  <c r="AA48" i="15"/>
  <c r="AF48" i="15" s="1"/>
  <c r="AD48" i="15"/>
  <c r="AI48" i="15" s="1"/>
  <c r="AC42" i="15"/>
  <c r="AH42" i="15" s="1"/>
  <c r="AD42" i="15"/>
  <c r="AI42" i="15" s="1"/>
  <c r="AA42" i="15"/>
  <c r="AF42" i="15" s="1"/>
  <c r="AB42" i="15"/>
  <c r="AG42" i="15" s="1"/>
  <c r="AC26" i="15"/>
  <c r="AH26" i="15" s="1"/>
  <c r="AA26" i="15"/>
  <c r="AF26" i="15" s="1"/>
  <c r="AB26" i="15"/>
  <c r="AG26" i="15" s="1"/>
  <c r="AD26" i="15"/>
  <c r="AI26" i="15" s="1"/>
  <c r="AC46" i="15"/>
  <c r="AH46" i="15" s="1"/>
  <c r="AD46" i="15"/>
  <c r="AI46" i="15" s="1"/>
  <c r="AA46" i="15"/>
  <c r="AF46" i="15" s="1"/>
  <c r="AB46" i="15"/>
  <c r="AG46" i="15" s="1"/>
  <c r="AC23" i="15"/>
  <c r="AH23" i="15" s="1"/>
  <c r="AD23" i="15"/>
  <c r="AI23" i="15" s="1"/>
  <c r="AB23" i="15"/>
  <c r="AG23" i="15" s="1"/>
  <c r="AA23" i="15"/>
  <c r="AF23" i="15" s="1"/>
  <c r="O24" i="24" s="1"/>
  <c r="AC37" i="15"/>
  <c r="AH37" i="15" s="1"/>
  <c r="AA37" i="15"/>
  <c r="AF37" i="15" s="1"/>
  <c r="AD37" i="15"/>
  <c r="AI37" i="15" s="1"/>
  <c r="AB37" i="15"/>
  <c r="AG37" i="15" s="1"/>
  <c r="AA20" i="15"/>
  <c r="AF20" i="15" s="1"/>
  <c r="AD20" i="15"/>
  <c r="AI20" i="15" s="1"/>
  <c r="AC20" i="15"/>
  <c r="AH20" i="15" s="1"/>
  <c r="AB20" i="15"/>
  <c r="AG20" i="15" s="1"/>
  <c r="AC44" i="15"/>
  <c r="AH44" i="15" s="1"/>
  <c r="AD44" i="15"/>
  <c r="AI44" i="15" s="1"/>
  <c r="AA44" i="15"/>
  <c r="AF44" i="15" s="1"/>
  <c r="AB44" i="15"/>
  <c r="AG44" i="15" s="1"/>
  <c r="AO24" i="17" a="1"/>
  <c r="AO24" i="17" s="1"/>
  <c r="AO23" i="17" a="1"/>
  <c r="AO23" i="17" s="1"/>
  <c r="N27" i="17" a="1"/>
  <c r="N27" i="17" s="1"/>
  <c r="N26" i="17" a="1"/>
  <c r="N26" i="17" s="1"/>
  <c r="AO25" i="17" a="1"/>
  <c r="AO25" i="17" s="1"/>
  <c r="AO26" i="17" a="1"/>
  <c r="AO26" i="17" s="1"/>
  <c r="N23" i="17" a="1"/>
  <c r="N23" i="17" s="1"/>
  <c r="N22" i="17" a="1"/>
  <c r="N22" i="17" s="1"/>
  <c r="AO27" i="17" a="1"/>
  <c r="AO27" i="17" s="1"/>
  <c r="N20" i="17" a="1"/>
  <c r="N20" i="17" s="1"/>
  <c r="N21" i="17" a="1"/>
  <c r="N21" i="17" s="1"/>
  <c r="K26" i="17" a="1"/>
  <c r="K26" i="17" s="1"/>
  <c r="K22" i="17" a="1"/>
  <c r="K22" i="17" s="1"/>
  <c r="K21" i="17" a="1"/>
  <c r="K21" i="17" s="1"/>
  <c r="K23" i="17" a="1"/>
  <c r="K23" i="17" s="1"/>
  <c r="K25" i="17" a="1"/>
  <c r="K25" i="17" s="1"/>
  <c r="K24" i="17" a="1"/>
  <c r="K24" i="17" s="1"/>
  <c r="K20" i="17" a="1"/>
  <c r="K20" i="17" s="1"/>
  <c r="K27" i="17" a="1"/>
  <c r="K27" i="17" s="1"/>
  <c r="AO22" i="17" a="1"/>
  <c r="AO22" i="17" s="1"/>
  <c r="AO21" i="17" a="1"/>
  <c r="AO21" i="17" s="1"/>
  <c r="N24" i="17" a="1"/>
  <c r="N24" i="17" s="1"/>
  <c r="N25" i="17" a="1"/>
  <c r="N25" i="17" s="1"/>
  <c r="AL26" i="17" a="1"/>
  <c r="AL26" i="17" s="1"/>
  <c r="AL25" i="17" a="1"/>
  <c r="AL25" i="17" s="1"/>
  <c r="AL21" i="17" a="1"/>
  <c r="AL21" i="17" s="1"/>
  <c r="AL24" i="17" a="1"/>
  <c r="AL24" i="17" s="1"/>
  <c r="AL27" i="17" a="1"/>
  <c r="AL27" i="17" s="1"/>
  <c r="AL23" i="17" a="1"/>
  <c r="AL23" i="17" s="1"/>
  <c r="AL22" i="17" a="1"/>
  <c r="AL22" i="17" s="1"/>
  <c r="AL20" i="17" a="1"/>
  <c r="AL20" i="17" s="1"/>
  <c r="AK27" i="17" a="1"/>
  <c r="AK27" i="17" s="1"/>
  <c r="AK22" i="17" a="1"/>
  <c r="AK22" i="17" s="1"/>
  <c r="AK24" i="17" a="1"/>
  <c r="AK24" i="17" s="1"/>
  <c r="AK26" i="17" a="1"/>
  <c r="AK26" i="17" s="1"/>
  <c r="AK21" i="17" a="1"/>
  <c r="AK21" i="17" s="1"/>
  <c r="AK23" i="17" a="1"/>
  <c r="AK23" i="17" s="1"/>
  <c r="AS26" i="17" a="1"/>
  <c r="AS26" i="17" s="1"/>
  <c r="AM26" i="17" a="1"/>
  <c r="AM26" i="17" s="1"/>
  <c r="AM22" i="17" a="1"/>
  <c r="AM22" i="17" s="1"/>
  <c r="AM27" i="17" a="1"/>
  <c r="AM27" i="17" s="1"/>
  <c r="AM25" i="17" a="1"/>
  <c r="AM25" i="17" s="1"/>
  <c r="AM21" i="17" a="1"/>
  <c r="AM21" i="17" s="1"/>
  <c r="AM24" i="17" a="1"/>
  <c r="AM24" i="17" s="1"/>
  <c r="AM20" i="17" a="1"/>
  <c r="AM20" i="17" s="1"/>
  <c r="AM23" i="17" a="1"/>
  <c r="AM23" i="17" s="1"/>
  <c r="AS27" i="17" a="1"/>
  <c r="AS27" i="17" s="1"/>
  <c r="AS21" i="17" a="1"/>
  <c r="AS21" i="17" s="1"/>
  <c r="AS20" i="17" a="1"/>
  <c r="AS20" i="17" s="1"/>
  <c r="AS25" i="17" a="1"/>
  <c r="AS25" i="17" s="1"/>
  <c r="AS24" i="17" a="1"/>
  <c r="AS24" i="17" s="1"/>
  <c r="AS22" i="17" a="1"/>
  <c r="AS22" i="17" s="1"/>
  <c r="AS23" i="17" a="1"/>
  <c r="AS23" i="17" s="1"/>
  <c r="C20" i="30"/>
  <c r="C20" i="14"/>
  <c r="BQ19" i="1"/>
  <c r="AD115" i="17"/>
  <c r="AD112" i="17"/>
  <c r="H59" i="15"/>
  <c r="I59" i="15"/>
  <c r="K59" i="15"/>
  <c r="J59" i="15"/>
  <c r="H34" i="15"/>
  <c r="K34" i="15"/>
  <c r="I34" i="15"/>
  <c r="J34" i="15"/>
  <c r="H66" i="15"/>
  <c r="I66" i="15"/>
  <c r="K66" i="15"/>
  <c r="J66" i="15"/>
  <c r="H50" i="15"/>
  <c r="K50" i="15"/>
  <c r="I50" i="15"/>
  <c r="J50" i="15"/>
  <c r="H64" i="15"/>
  <c r="K64" i="15"/>
  <c r="I64" i="15"/>
  <c r="J64" i="15"/>
  <c r="H48" i="15"/>
  <c r="I48" i="15"/>
  <c r="J48" i="15"/>
  <c r="K48" i="15"/>
  <c r="H42" i="15"/>
  <c r="I42" i="15"/>
  <c r="K42" i="15"/>
  <c r="J42" i="15"/>
  <c r="H26" i="15"/>
  <c r="I26" i="15"/>
  <c r="J26" i="15"/>
  <c r="K26" i="15"/>
  <c r="H46" i="15"/>
  <c r="K46" i="15"/>
  <c r="I46" i="15"/>
  <c r="J46" i="15"/>
  <c r="H23" i="15"/>
  <c r="I23" i="15"/>
  <c r="J23" i="15"/>
  <c r="K23" i="15"/>
  <c r="H24" i="15"/>
  <c r="I24" i="15"/>
  <c r="K24" i="15"/>
  <c r="J24" i="15"/>
  <c r="H32" i="15"/>
  <c r="I32" i="15"/>
  <c r="J32" i="15"/>
  <c r="K32" i="15"/>
  <c r="H25" i="15"/>
  <c r="K25" i="15"/>
  <c r="I25" i="15"/>
  <c r="J25" i="15"/>
  <c r="H72" i="15"/>
  <c r="I72" i="15"/>
  <c r="K72" i="15"/>
  <c r="J72" i="15"/>
  <c r="H71" i="15"/>
  <c r="I71" i="15"/>
  <c r="J71" i="15"/>
  <c r="K71" i="15"/>
  <c r="H55" i="15"/>
  <c r="K55" i="15"/>
  <c r="I55" i="15"/>
  <c r="J55" i="15"/>
  <c r="H30" i="15"/>
  <c r="I30" i="15"/>
  <c r="K30" i="15"/>
  <c r="J30" i="15"/>
  <c r="H62" i="15"/>
  <c r="I62" i="15"/>
  <c r="K62" i="15"/>
  <c r="J62" i="15"/>
  <c r="H45" i="15"/>
  <c r="I45" i="15"/>
  <c r="K45" i="15"/>
  <c r="J45" i="15"/>
  <c r="H74" i="15"/>
  <c r="I74" i="15"/>
  <c r="J74" i="15"/>
  <c r="K74" i="15"/>
  <c r="H60" i="15"/>
  <c r="I60" i="15"/>
  <c r="J60" i="15"/>
  <c r="K60" i="15"/>
  <c r="H39" i="15"/>
  <c r="I39" i="15"/>
  <c r="J39" i="15"/>
  <c r="K39" i="15"/>
  <c r="H22" i="15"/>
  <c r="K22" i="15"/>
  <c r="I22" i="15"/>
  <c r="J22" i="15"/>
  <c r="H37" i="15"/>
  <c r="I37" i="15"/>
  <c r="K37" i="15"/>
  <c r="J37" i="15"/>
  <c r="I20" i="15"/>
  <c r="H20" i="15"/>
  <c r="J20" i="15"/>
  <c r="K20" i="15"/>
  <c r="H44" i="15"/>
  <c r="I44" i="15"/>
  <c r="J44" i="15"/>
  <c r="K44" i="15"/>
  <c r="H67" i="15"/>
  <c r="K67" i="15"/>
  <c r="I67" i="15"/>
  <c r="J67" i="15"/>
  <c r="H51" i="15"/>
  <c r="I51" i="15"/>
  <c r="K51" i="15"/>
  <c r="J51" i="15"/>
  <c r="H75" i="15"/>
  <c r="I75" i="15"/>
  <c r="K75" i="15"/>
  <c r="J75" i="15"/>
  <c r="H58" i="15"/>
  <c r="K58" i="15"/>
  <c r="I58" i="15"/>
  <c r="J58" i="15"/>
  <c r="H69" i="15"/>
  <c r="I69" i="15"/>
  <c r="K69" i="15"/>
  <c r="J69" i="15"/>
  <c r="H56" i="15"/>
  <c r="I56" i="15"/>
  <c r="K56" i="15"/>
  <c r="J56" i="15"/>
  <c r="H49" i="15"/>
  <c r="I49" i="15"/>
  <c r="K49" i="15"/>
  <c r="J49" i="15"/>
  <c r="H40" i="15"/>
  <c r="I40" i="15"/>
  <c r="K40" i="15"/>
  <c r="J40" i="15"/>
  <c r="H36" i="15"/>
  <c r="I36" i="15"/>
  <c r="J36" i="15"/>
  <c r="K36" i="15"/>
  <c r="H29" i="15"/>
  <c r="I29" i="15"/>
  <c r="J29" i="15"/>
  <c r="K29" i="15"/>
  <c r="H43" i="15"/>
  <c r="K43" i="15"/>
  <c r="I43" i="15"/>
  <c r="J43" i="15"/>
  <c r="H27" i="15"/>
  <c r="I27" i="15"/>
  <c r="K27" i="15"/>
  <c r="J27" i="15"/>
  <c r="H61" i="15"/>
  <c r="K61" i="15"/>
  <c r="I61" i="15"/>
  <c r="J61" i="15"/>
  <c r="H53" i="15"/>
  <c r="I53" i="15"/>
  <c r="K53" i="15"/>
  <c r="J53" i="15"/>
  <c r="H31" i="15"/>
  <c r="K31" i="15"/>
  <c r="I31" i="15"/>
  <c r="J31" i="15"/>
  <c r="H21" i="15"/>
  <c r="I21" i="15"/>
  <c r="K21" i="15"/>
  <c r="J21" i="15"/>
  <c r="H63" i="15"/>
  <c r="I63" i="15"/>
  <c r="J63" i="15"/>
  <c r="K63" i="15"/>
  <c r="H38" i="15"/>
  <c r="K38" i="15"/>
  <c r="I38" i="15"/>
  <c r="J38" i="15"/>
  <c r="H70" i="15"/>
  <c r="K70" i="15"/>
  <c r="I70" i="15"/>
  <c r="J70" i="15"/>
  <c r="H54" i="15"/>
  <c r="I54" i="15"/>
  <c r="J54" i="15"/>
  <c r="K54" i="15"/>
  <c r="H65" i="15"/>
  <c r="I65" i="15"/>
  <c r="J65" i="15"/>
  <c r="K65" i="15"/>
  <c r="H68" i="15"/>
  <c r="I68" i="15"/>
  <c r="J68" i="15"/>
  <c r="K68" i="15"/>
  <c r="H52" i="15"/>
  <c r="I52" i="15"/>
  <c r="J52" i="15"/>
  <c r="K52" i="15"/>
  <c r="H57" i="15"/>
  <c r="I57" i="15"/>
  <c r="J57" i="15"/>
  <c r="K57" i="15"/>
  <c r="H41" i="15"/>
  <c r="K41" i="15"/>
  <c r="I41" i="15"/>
  <c r="J41" i="15"/>
  <c r="H33" i="15"/>
  <c r="I33" i="15"/>
  <c r="K33" i="15"/>
  <c r="J33" i="15"/>
  <c r="H28" i="15"/>
  <c r="K28" i="15"/>
  <c r="I28" i="15"/>
  <c r="J28" i="15"/>
  <c r="H35" i="15"/>
  <c r="I35" i="15"/>
  <c r="K35" i="15"/>
  <c r="J35" i="15"/>
  <c r="J74" i="18"/>
  <c r="J66" i="18"/>
  <c r="J69" i="18"/>
  <c r="J72" i="18"/>
  <c r="J64" i="18"/>
  <c r="J86" i="18"/>
  <c r="J81" i="18"/>
  <c r="J79" i="18"/>
  <c r="C19" i="13" a="1"/>
  <c r="C19" i="13" s="1"/>
  <c r="AN19" i="16" s="1"/>
  <c r="AO19" i="16" s="1"/>
  <c r="AO18" i="16" s="1"/>
  <c r="AL19" i="1"/>
  <c r="CO132" i="16" a="1"/>
  <c r="CO132" i="16" s="1"/>
  <c r="CO117" i="16" a="1"/>
  <c r="CO117" i="16" s="1"/>
  <c r="C63" i="29"/>
  <c r="C43" i="14"/>
  <c r="E43" i="14" s="1"/>
  <c r="BM19" i="1"/>
  <c r="BM18" i="1" s="1"/>
  <c r="M34" i="1"/>
  <c r="M39" i="1"/>
  <c r="M24" i="1"/>
  <c r="M49" i="1"/>
  <c r="M62" i="1"/>
  <c r="M69" i="1"/>
  <c r="M23" i="1"/>
  <c r="M29" i="1"/>
  <c r="M61" i="1"/>
  <c r="M38" i="1"/>
  <c r="M72" i="1"/>
  <c r="M71" i="1"/>
  <c r="M63" i="1"/>
  <c r="M66" i="1"/>
  <c r="M48" i="1"/>
  <c r="M75" i="1"/>
  <c r="M27" i="1"/>
  <c r="M28" i="1"/>
  <c r="M50" i="1"/>
  <c r="M67" i="1"/>
  <c r="M40" i="1"/>
  <c r="M57" i="1"/>
  <c r="M54" i="1"/>
  <c r="M43" i="1"/>
  <c r="M74" i="1"/>
  <c r="M33" i="1"/>
  <c r="M25" i="1"/>
  <c r="C62" i="14"/>
  <c r="E62" i="14" s="1"/>
  <c r="C56" i="14"/>
  <c r="E56" i="14" s="1"/>
  <c r="C55" i="30"/>
  <c r="C63" i="14"/>
  <c r="E63" i="14" s="1"/>
  <c r="C25" i="29"/>
  <c r="C37" i="30"/>
  <c r="C55" i="14"/>
  <c r="E55" i="14" s="1"/>
  <c r="C25" i="14"/>
  <c r="AG25" i="14" s="1"/>
  <c r="C26" i="30"/>
  <c r="C62" i="29"/>
  <c r="C27" i="14"/>
  <c r="AH27" i="14" s="1"/>
  <c r="C39" i="30"/>
  <c r="C65" i="14"/>
  <c r="AH65" i="14" s="1"/>
  <c r="R73" i="29" a="1"/>
  <c r="R58" i="30" a="1"/>
  <c r="R58" i="30" s="1"/>
  <c r="S53" i="30" a="1"/>
  <c r="S53" i="30" s="1"/>
  <c r="AY53" i="1" s="1"/>
  <c r="R41" i="30" a="1"/>
  <c r="R41" i="30" s="1"/>
  <c r="S36" i="30" a="1"/>
  <c r="S36" i="30" s="1"/>
  <c r="AY36" i="1" s="1"/>
  <c r="R32" i="30" a="1"/>
  <c r="R32" i="30" s="1"/>
  <c r="AW32" i="1" s="1"/>
  <c r="R28" i="30" a="1"/>
  <c r="R28" i="30" s="1"/>
  <c r="AW28" i="1" s="1"/>
  <c r="R24" i="30" a="1"/>
  <c r="R24" i="30" s="1"/>
  <c r="AW24" i="1" s="1"/>
  <c r="R20" i="30" a="1"/>
  <c r="R20" i="30" s="1"/>
  <c r="BE20" i="1" s="1"/>
  <c r="S60" i="30" a="1"/>
  <c r="S60" i="30" s="1"/>
  <c r="AY60" i="1" s="1"/>
  <c r="R49" i="30" a="1"/>
  <c r="R49" i="30" s="1"/>
  <c r="S43" i="30" a="1"/>
  <c r="S43" i="30" s="1"/>
  <c r="AY43" i="1" s="1"/>
  <c r="S34" i="30" a="1"/>
  <c r="S34" i="30" s="1"/>
  <c r="AY34" i="1" s="1"/>
  <c r="S30" i="30" a="1"/>
  <c r="S26" i="30" a="1"/>
  <c r="S26" i="30" s="1"/>
  <c r="AY26" i="1" s="1"/>
  <c r="S22" i="30" a="1"/>
  <c r="S22" i="30" s="1"/>
  <c r="AY22" i="1" s="1"/>
  <c r="S63" i="30" a="1"/>
  <c r="S63" i="30" s="1"/>
  <c r="AY63" i="1" s="1"/>
  <c r="S67" i="30" a="1"/>
  <c r="S67" i="30" s="1"/>
  <c r="AY67" i="1" s="1"/>
  <c r="S71" i="30" a="1"/>
  <c r="S71" i="30" s="1"/>
  <c r="AY71" i="1" s="1"/>
  <c r="R76" i="30" a="1"/>
  <c r="R76" i="30" s="1"/>
  <c r="S76" i="30" a="1"/>
  <c r="S76" i="30" s="1"/>
  <c r="AY76" i="1" s="1"/>
  <c r="S73" i="30" a="1"/>
  <c r="R60" i="30" a="1"/>
  <c r="S55" i="30" a="1"/>
  <c r="S55" i="30" s="1"/>
  <c r="AY55" i="1" s="1"/>
  <c r="R43" i="30" a="1"/>
  <c r="R43" i="30" s="1"/>
  <c r="S38" i="30" a="1"/>
  <c r="S38" i="30" s="1"/>
  <c r="AY38" i="1" s="1"/>
  <c r="S33" i="30" a="1"/>
  <c r="S33" i="30" s="1"/>
  <c r="AY33" i="1" s="1"/>
  <c r="S29" i="30" a="1"/>
  <c r="S29" i="30" s="1"/>
  <c r="AY29" i="1" s="1"/>
  <c r="S25" i="30" a="1"/>
  <c r="S25" i="30" s="1"/>
  <c r="AY25" i="1" s="1"/>
  <c r="S21" i="30" a="1"/>
  <c r="S21" i="30" s="1"/>
  <c r="AY21" i="1" s="1"/>
  <c r="S62" i="30" a="1"/>
  <c r="S62" i="30" s="1"/>
  <c r="AY62" i="1" s="1"/>
  <c r="R51" i="30" a="1"/>
  <c r="R51" i="30" s="1"/>
  <c r="S45" i="30" a="1"/>
  <c r="S45" i="30" s="1"/>
  <c r="AY45" i="1" s="1"/>
  <c r="S20" i="30" a="1"/>
  <c r="S20" i="30" s="1"/>
  <c r="AY20" i="1" s="1"/>
  <c r="Z23" i="19"/>
  <c r="Z33" i="19" s="1"/>
  <c r="T11" i="18" s="1"/>
  <c r="J111" i="18"/>
  <c r="R47" i="29" a="1"/>
  <c r="R62" i="30" a="1"/>
  <c r="S57" i="30" a="1"/>
  <c r="S57" i="30" s="1"/>
  <c r="AY57" i="1" s="1"/>
  <c r="R45" i="30" a="1"/>
  <c r="S40" i="30" a="1"/>
  <c r="R53" i="30" a="1"/>
  <c r="R53" i="30" s="1"/>
  <c r="S48" i="30" a="1"/>
  <c r="S48" i="30" s="1"/>
  <c r="AY48" i="1" s="1"/>
  <c r="R36" i="30" a="1"/>
  <c r="R36" i="30" s="1"/>
  <c r="R67" i="30" a="1"/>
  <c r="R67" i="30" s="1"/>
  <c r="R69" i="30" a="1"/>
  <c r="R69" i="30" s="1"/>
  <c r="R71" i="30" a="1"/>
  <c r="R71" i="30" s="1"/>
  <c r="R74" i="30" a="1"/>
  <c r="R74" i="30" s="1"/>
  <c r="S64" i="30" a="1"/>
  <c r="S64" i="30" s="1"/>
  <c r="AY64" i="1" s="1"/>
  <c r="S68" i="30" a="1"/>
  <c r="S68" i="30" s="1"/>
  <c r="AY68" i="1" s="1"/>
  <c r="S72" i="30" a="1"/>
  <c r="S72" i="30" s="1"/>
  <c r="AY72" i="1" s="1"/>
  <c r="R77" i="30" a="1"/>
  <c r="R77" i="30" s="1"/>
  <c r="R73" i="30" a="1"/>
  <c r="R73" i="30" s="1"/>
  <c r="S59" i="30" a="1"/>
  <c r="S59" i="30" s="1"/>
  <c r="AY59" i="1" s="1"/>
  <c r="R48" i="30" a="1"/>
  <c r="R48" i="30" s="1"/>
  <c r="S42" i="30" a="1"/>
  <c r="S42" i="30" s="1"/>
  <c r="AY42" i="1" s="1"/>
  <c r="R65" i="30" a="1"/>
  <c r="R55" i="30" a="1"/>
  <c r="R55" i="30" s="1"/>
  <c r="S50" i="30" a="1"/>
  <c r="S50" i="30" s="1"/>
  <c r="AY50" i="1" s="1"/>
  <c r="R38" i="30" a="1"/>
  <c r="R38" i="30" s="1"/>
  <c r="S32" i="30" a="1"/>
  <c r="S32" i="30" s="1"/>
  <c r="AY32" i="1" s="1"/>
  <c r="S28" i="30" a="1"/>
  <c r="S28" i="30" s="1"/>
  <c r="AY28" i="1" s="1"/>
  <c r="S24" i="30" a="1"/>
  <c r="S24" i="30" s="1"/>
  <c r="AY24" i="1" s="1"/>
  <c r="S47" i="29" a="1"/>
  <c r="S47" i="29" s="1"/>
  <c r="AX47" i="1" s="1"/>
  <c r="S61" i="30" a="1"/>
  <c r="S61" i="30" s="1"/>
  <c r="AY61" i="1" s="1"/>
  <c r="R50" i="30" a="1"/>
  <c r="R50" i="30" s="1"/>
  <c r="S44" i="30" a="1"/>
  <c r="S35" i="30" a="1"/>
  <c r="S35" i="30" s="1"/>
  <c r="AY35" i="1" s="1"/>
  <c r="S31" i="30" a="1"/>
  <c r="S31" i="30" s="1"/>
  <c r="AY31" i="1" s="1"/>
  <c r="S27" i="30" a="1"/>
  <c r="S27" i="30" s="1"/>
  <c r="AY27" i="1" s="1"/>
  <c r="S23" i="30" a="1"/>
  <c r="R19" i="30" a="1"/>
  <c r="R19" i="30" s="1"/>
  <c r="R57" i="30" a="1"/>
  <c r="R57" i="30" s="1"/>
  <c r="S52" i="30" a="1"/>
  <c r="R40" i="30" a="1"/>
  <c r="R40" i="30" s="1"/>
  <c r="R35" i="30" a="1"/>
  <c r="R35" i="30" s="1"/>
  <c r="R31" i="30" a="1"/>
  <c r="R31" i="30" s="1"/>
  <c r="AW31" i="1" s="1"/>
  <c r="R27" i="30" a="1"/>
  <c r="R27" i="30" s="1"/>
  <c r="AW27" i="1" s="1"/>
  <c r="R23" i="30" a="1"/>
  <c r="R23" i="30" s="1"/>
  <c r="AW23" i="1" s="1"/>
  <c r="S65" i="30" a="1"/>
  <c r="S65" i="30" s="1"/>
  <c r="AY65" i="1" s="1"/>
  <c r="S69" i="30" a="1"/>
  <c r="S69" i="30" s="1"/>
  <c r="AY69" i="1" s="1"/>
  <c r="S74" i="30" a="1"/>
  <c r="S74" i="30" s="1"/>
  <c r="AY74" i="1" s="1"/>
  <c r="S77" i="30" a="1"/>
  <c r="S77" i="30" s="1"/>
  <c r="AY77" i="1" s="1"/>
  <c r="R47" i="30" a="1"/>
  <c r="R47" i="30" s="1"/>
  <c r="R52" i="30" a="1"/>
  <c r="R52" i="30" s="1"/>
  <c r="S46" i="30" a="1"/>
  <c r="R34" i="30" a="1"/>
  <c r="R34" i="30" s="1"/>
  <c r="AW34" i="1" s="1"/>
  <c r="R30" i="30" a="1"/>
  <c r="R30" i="30" s="1"/>
  <c r="AW30" i="1" s="1"/>
  <c r="R26" i="30" a="1"/>
  <c r="R26" i="30" s="1"/>
  <c r="AW26" i="1" s="1"/>
  <c r="R22" i="30" a="1"/>
  <c r="R64" i="30" a="1"/>
  <c r="R64" i="30" s="1"/>
  <c r="R59" i="30" a="1"/>
  <c r="R59" i="30" s="1"/>
  <c r="S54" i="30" a="1"/>
  <c r="S54" i="30" s="1"/>
  <c r="AY54" i="1" s="1"/>
  <c r="R42" i="30" a="1"/>
  <c r="R42" i="30" s="1"/>
  <c r="S37" i="30" a="1"/>
  <c r="S37" i="30" s="1"/>
  <c r="AY37" i="1" s="1"/>
  <c r="S19" i="30" a="1"/>
  <c r="S19" i="30" s="1"/>
  <c r="T112" i="18"/>
  <c r="S73" i="29" a="1"/>
  <c r="S73" i="29" s="1"/>
  <c r="AX73" i="1" s="1"/>
  <c r="R54" i="30" a="1"/>
  <c r="R54" i="30" s="1"/>
  <c r="S49" i="30" a="1"/>
  <c r="S49" i="30" s="1"/>
  <c r="AY49" i="1" s="1"/>
  <c r="R37" i="30" a="1"/>
  <c r="R37" i="30" s="1"/>
  <c r="R61" i="30" a="1"/>
  <c r="S56" i="30" a="1"/>
  <c r="S56" i="30" s="1"/>
  <c r="AY56" i="1" s="1"/>
  <c r="R44" i="30" a="1"/>
  <c r="R44" i="30" s="1"/>
  <c r="S39" i="30" a="1"/>
  <c r="S39" i="30" s="1"/>
  <c r="AY39" i="1" s="1"/>
  <c r="R66" i="30" a="1"/>
  <c r="R66" i="30" s="1"/>
  <c r="R68" i="30" a="1"/>
  <c r="R68" i="30" s="1"/>
  <c r="R70" i="30" a="1"/>
  <c r="R70" i="30" s="1"/>
  <c r="R72" i="30" a="1"/>
  <c r="R72" i="30" s="1"/>
  <c r="R75" i="30" a="1"/>
  <c r="R75" i="30" s="1"/>
  <c r="S66" i="30" a="1"/>
  <c r="S66" i="30" s="1"/>
  <c r="AY66" i="1" s="1"/>
  <c r="S70" i="30" a="1"/>
  <c r="S70" i="30" s="1"/>
  <c r="AY70" i="1" s="1"/>
  <c r="S75" i="30" a="1"/>
  <c r="S75" i="30" s="1"/>
  <c r="AY75" i="1" s="1"/>
  <c r="S47" i="30" a="1"/>
  <c r="S47" i="30" s="1"/>
  <c r="AY47" i="1" s="1"/>
  <c r="R56" i="30" a="1"/>
  <c r="R56" i="30" s="1"/>
  <c r="S51" i="30" a="1"/>
  <c r="S51" i="30" s="1"/>
  <c r="AY51" i="1" s="1"/>
  <c r="R39" i="30" a="1"/>
  <c r="R39" i="30" s="1"/>
  <c r="R63" i="30" a="1"/>
  <c r="S58" i="30" a="1"/>
  <c r="S58" i="30" s="1"/>
  <c r="AY58" i="1" s="1"/>
  <c r="R46" i="30" a="1"/>
  <c r="R46" i="30" s="1"/>
  <c r="S41" i="30" a="1"/>
  <c r="R33" i="30" a="1"/>
  <c r="R33" i="30" s="1"/>
  <c r="AW33" i="1" s="1"/>
  <c r="R29" i="30" a="1"/>
  <c r="R29" i="30" s="1"/>
  <c r="AW29" i="1" s="1"/>
  <c r="R25" i="30" a="1"/>
  <c r="R25" i="30" s="1"/>
  <c r="AW25" i="1" s="1"/>
  <c r="R21" i="30" a="1"/>
  <c r="R21" i="30" s="1"/>
  <c r="AG28" i="14"/>
  <c r="AF28" i="14"/>
  <c r="AH28" i="14"/>
  <c r="E28" i="14"/>
  <c r="AE28" i="14"/>
  <c r="C28" i="30"/>
  <c r="C71" i="30"/>
  <c r="C65" i="29"/>
  <c r="C71" i="14"/>
  <c r="AF71" i="14" s="1"/>
  <c r="C28" i="29"/>
  <c r="N19" i="45"/>
  <c r="T91" i="18"/>
  <c r="T58" i="18"/>
  <c r="D46" i="28"/>
  <c r="L46" i="28" s="1"/>
  <c r="K47" i="24" s="1"/>
  <c r="P47" i="24" s="1"/>
  <c r="D72" i="28"/>
  <c r="M72" i="28" s="1"/>
  <c r="E63" i="28"/>
  <c r="D63" i="28" s="1"/>
  <c r="L63" i="28" s="1"/>
  <c r="E40" i="28"/>
  <c r="D40" i="28" s="1"/>
  <c r="M40" i="28" s="1"/>
  <c r="E69" i="28"/>
  <c r="D69" i="28" s="1"/>
  <c r="M69" i="28" s="1"/>
  <c r="E55" i="28"/>
  <c r="D55" i="28" s="1"/>
  <c r="L55" i="28" s="1"/>
  <c r="J117" i="18"/>
  <c r="E77" i="28" a="1"/>
  <c r="E77" i="28" s="1"/>
  <c r="E76" i="28" a="1"/>
  <c r="E76" i="28" s="1"/>
  <c r="AU26" i="1"/>
  <c r="BC26" i="1"/>
  <c r="AN31" i="1"/>
  <c r="AN29" i="1"/>
  <c r="AN30" i="1"/>
  <c r="R73" i="29"/>
  <c r="S73" i="30"/>
  <c r="AY73" i="1" s="1"/>
  <c r="AN67" i="1"/>
  <c r="AN39" i="1"/>
  <c r="AM19" i="1"/>
  <c r="AN59" i="1"/>
  <c r="AN57" i="1"/>
  <c r="AN49" i="1"/>
  <c r="AN32" i="1"/>
  <c r="AN38" i="1"/>
  <c r="AN73" i="1"/>
  <c r="AN55" i="1"/>
  <c r="AN46" i="1"/>
  <c r="AN70" i="1"/>
  <c r="AN53" i="1"/>
  <c r="AN44" i="1"/>
  <c r="AN69" i="1"/>
  <c r="AN40" i="1"/>
  <c r="AN58" i="1"/>
  <c r="AN42" i="1"/>
  <c r="AN34" i="1"/>
  <c r="AN47" i="1"/>
  <c r="C39" i="29"/>
  <c r="AF43" i="14"/>
  <c r="CD22" i="16"/>
  <c r="C73" i="30"/>
  <c r="C73" i="29"/>
  <c r="C73" i="14"/>
  <c r="E73" i="14" s="1"/>
  <c r="AE43" i="14"/>
  <c r="C47" i="29"/>
  <c r="C47" i="30"/>
  <c r="C47" i="14"/>
  <c r="AN48" i="1"/>
  <c r="AN74" i="1"/>
  <c r="AO19" i="1"/>
  <c r="AQ19" i="1" s="1"/>
  <c r="N19" i="1"/>
  <c r="P19" i="1" s="1"/>
  <c r="R47" i="29"/>
  <c r="C69" i="14"/>
  <c r="C68" i="30"/>
  <c r="C68" i="29"/>
  <c r="C68" i="14"/>
  <c r="E68" i="14" s="1"/>
  <c r="C64" i="14"/>
  <c r="C64" i="30"/>
  <c r="C64" i="29"/>
  <c r="C41" i="14"/>
  <c r="AF41" i="14" s="1"/>
  <c r="C26" i="29"/>
  <c r="C41" i="30"/>
  <c r="T88" i="18"/>
  <c r="C45" i="14"/>
  <c r="AF45" i="14" s="1"/>
  <c r="C45" i="29"/>
  <c r="C54" i="14"/>
  <c r="AE54" i="14" s="1"/>
  <c r="C54" i="30"/>
  <c r="C72" i="29"/>
  <c r="C72" i="30"/>
  <c r="C67" i="29"/>
  <c r="C67" i="30"/>
  <c r="C54" i="29"/>
  <c r="C51" i="29"/>
  <c r="C51" i="30"/>
  <c r="D65" i="28"/>
  <c r="M65" i="28" s="1"/>
  <c r="D64" i="28"/>
  <c r="M64" i="28" s="1"/>
  <c r="AN35" i="1"/>
  <c r="S59" i="29" a="1"/>
  <c r="S51" i="29" a="1"/>
  <c r="S51" i="29" s="1"/>
  <c r="AX51" i="1" s="1"/>
  <c r="R48" i="29" a="1"/>
  <c r="R48" i="29" s="1"/>
  <c r="S34" i="29" a="1"/>
  <c r="S19" i="29" a="1"/>
  <c r="R75" i="29" a="1"/>
  <c r="R75" i="29" s="1"/>
  <c r="R70" i="29" a="1"/>
  <c r="R70" i="29" s="1"/>
  <c r="R66" i="29" a="1"/>
  <c r="R66" i="29" s="1"/>
  <c r="S62" i="29" a="1"/>
  <c r="S62" i="29" s="1"/>
  <c r="AX62" i="1" s="1"/>
  <c r="R59" i="29" a="1"/>
  <c r="R59" i="29" s="1"/>
  <c r="S45" i="29" a="1"/>
  <c r="S45" i="29" s="1"/>
  <c r="AX45" i="1" s="1"/>
  <c r="R42" i="29" a="1"/>
  <c r="R42" i="29" s="1"/>
  <c r="S30" i="29" a="1"/>
  <c r="S26" i="29" a="1"/>
  <c r="S26" i="29" s="1"/>
  <c r="AX26" i="1" s="1"/>
  <c r="S22" i="29" a="1"/>
  <c r="S22" i="29" s="1"/>
  <c r="AX22" i="1" s="1"/>
  <c r="S60" i="29" a="1"/>
  <c r="R62" i="29" a="1"/>
  <c r="R62" i="29" s="1"/>
  <c r="S49" i="29" a="1"/>
  <c r="S49" i="29" s="1"/>
  <c r="AX49" i="1" s="1"/>
  <c r="R45" i="29" a="1"/>
  <c r="R45" i="29" s="1"/>
  <c r="R30" i="29" a="1"/>
  <c r="R28" i="29" a="1"/>
  <c r="R26" i="29" a="1"/>
  <c r="R26" i="29" s="1"/>
  <c r="AV26" i="1" s="1"/>
  <c r="R24" i="29" a="1"/>
  <c r="R24" i="29" s="1"/>
  <c r="AV24" i="1" s="1"/>
  <c r="R22" i="29" a="1"/>
  <c r="R20" i="29" a="1"/>
  <c r="S64" i="29" a="1"/>
  <c r="S64" i="29" s="1"/>
  <c r="AX64" i="1" s="1"/>
  <c r="S68" i="29" a="1"/>
  <c r="S68" i="29" s="1"/>
  <c r="AX68" i="1" s="1"/>
  <c r="S72" i="29" a="1"/>
  <c r="S76" i="29" a="1"/>
  <c r="R53" i="29" a="1"/>
  <c r="S43" i="29" a="1"/>
  <c r="S43" i="29" s="1"/>
  <c r="AX43" i="1" s="1"/>
  <c r="R36" i="29" a="1"/>
  <c r="R36" i="29" s="1"/>
  <c r="S46" i="29" a="1"/>
  <c r="R43" i="29" a="1"/>
  <c r="R74" i="29" a="1"/>
  <c r="R74" i="29" s="1"/>
  <c r="R69" i="29" a="1"/>
  <c r="R65" i="29" a="1"/>
  <c r="S58" i="29" a="1"/>
  <c r="S58" i="29" s="1"/>
  <c r="AX58" i="1" s="1"/>
  <c r="R55" i="29" a="1"/>
  <c r="R55" i="29" s="1"/>
  <c r="S41" i="29" a="1"/>
  <c r="S41" i="29" s="1"/>
  <c r="AX41" i="1" s="1"/>
  <c r="R38" i="29" a="1"/>
  <c r="R38" i="29" s="1"/>
  <c r="S31" i="29" a="1"/>
  <c r="S31" i="29" s="1"/>
  <c r="AX31" i="1" s="1"/>
  <c r="S27" i="29" a="1"/>
  <c r="S27" i="29" s="1"/>
  <c r="AX27" i="1" s="1"/>
  <c r="S23" i="29" a="1"/>
  <c r="S23" i="29" s="1"/>
  <c r="AX23" i="1" s="1"/>
  <c r="S32" i="29" a="1"/>
  <c r="S32" i="29" s="1"/>
  <c r="AX32" i="1" s="1"/>
  <c r="S61" i="29" a="1"/>
  <c r="S61" i="29" s="1"/>
  <c r="AX61" i="1" s="1"/>
  <c r="R58" i="29" a="1"/>
  <c r="R58" i="29" s="1"/>
  <c r="S44" i="29" a="1"/>
  <c r="R41" i="29" a="1"/>
  <c r="R41" i="29" s="1"/>
  <c r="S65" i="29" a="1"/>
  <c r="S65" i="29" s="1"/>
  <c r="AX65" i="1" s="1"/>
  <c r="S69" i="29" a="1"/>
  <c r="S69" i="29" s="1"/>
  <c r="AX69" i="1" s="1"/>
  <c r="S74" i="29" a="1"/>
  <c r="S74" i="29" s="1"/>
  <c r="AX74" i="1" s="1"/>
  <c r="R77" i="29" a="1"/>
  <c r="R77" i="29" s="1"/>
  <c r="R57" i="29" a="1"/>
  <c r="R57" i="29" s="1"/>
  <c r="S48" i="29" a="1"/>
  <c r="S48" i="29" s="1"/>
  <c r="AX48" i="1" s="1"/>
  <c r="R40" i="29" a="1"/>
  <c r="R40" i="29" s="1"/>
  <c r="R56" i="29" a="1"/>
  <c r="R56" i="29" s="1"/>
  <c r="S42" i="29" a="1"/>
  <c r="S42" i="29" s="1"/>
  <c r="AX42" i="1" s="1"/>
  <c r="R39" i="29" a="1"/>
  <c r="R39" i="29" s="1"/>
  <c r="R72" i="29" a="1"/>
  <c r="R72" i="29" s="1"/>
  <c r="R68" i="29" a="1"/>
  <c r="R68" i="29" s="1"/>
  <c r="R64" i="29" a="1"/>
  <c r="R64" i="29" s="1"/>
  <c r="S54" i="29" a="1"/>
  <c r="S54" i="29" s="1"/>
  <c r="AX54" i="1" s="1"/>
  <c r="R51" i="29" a="1"/>
  <c r="R51" i="29" s="1"/>
  <c r="S37" i="29" a="1"/>
  <c r="S37" i="29" s="1"/>
  <c r="AX37" i="1" s="1"/>
  <c r="R34" i="29" a="1"/>
  <c r="R34" i="29" s="1"/>
  <c r="S28" i="29" a="1"/>
  <c r="S28" i="29" s="1"/>
  <c r="AX28" i="1" s="1"/>
  <c r="S24" i="29" a="1"/>
  <c r="S24" i="29" s="1"/>
  <c r="AX24" i="1" s="1"/>
  <c r="S20" i="29" a="1"/>
  <c r="S20" i="29" s="1"/>
  <c r="AX20" i="1" s="1"/>
  <c r="S52" i="29" a="1"/>
  <c r="S52" i="29" s="1"/>
  <c r="AX52" i="1" s="1"/>
  <c r="R44" i="29" a="1"/>
  <c r="R44" i="29" s="1"/>
  <c r="S57" i="29" a="1"/>
  <c r="S57" i="29" s="1"/>
  <c r="AX57" i="1" s="1"/>
  <c r="R54" i="29" a="1"/>
  <c r="R54" i="29" s="1"/>
  <c r="S40" i="29" a="1"/>
  <c r="S40" i="29" s="1"/>
  <c r="AX40" i="1" s="1"/>
  <c r="R37" i="29" a="1"/>
  <c r="R37" i="29" s="1"/>
  <c r="R31" i="29" a="1"/>
  <c r="R31" i="29" s="1"/>
  <c r="AV31" i="1" s="1"/>
  <c r="R29" i="29" a="1"/>
  <c r="R29" i="29" s="1"/>
  <c r="AV29" i="1" s="1"/>
  <c r="R27" i="29" a="1"/>
  <c r="R27" i="29" s="1"/>
  <c r="AV27" i="1" s="1"/>
  <c r="R25" i="29" a="1"/>
  <c r="R25" i="29" s="1"/>
  <c r="AV25" i="1" s="1"/>
  <c r="R23" i="29" a="1"/>
  <c r="R23" i="29" s="1"/>
  <c r="AV23" i="1" s="1"/>
  <c r="R21" i="29" a="1"/>
  <c r="R21" i="29" s="1"/>
  <c r="S66" i="29" a="1"/>
  <c r="S66" i="29" s="1"/>
  <c r="AX66" i="1" s="1"/>
  <c r="S70" i="29" a="1"/>
  <c r="S70" i="29" s="1"/>
  <c r="AX70" i="1" s="1"/>
  <c r="S75" i="29" a="1"/>
  <c r="S75" i="29" s="1"/>
  <c r="AX75" i="1" s="1"/>
  <c r="R76" i="29" a="1"/>
  <c r="R76" i="29" s="1"/>
  <c r="R61" i="29" a="1"/>
  <c r="R61" i="29" s="1"/>
  <c r="S35" i="29" a="1"/>
  <c r="S35" i="29" s="1"/>
  <c r="AX35" i="1" s="1"/>
  <c r="R60" i="29" a="1"/>
  <c r="R60" i="29" s="1"/>
  <c r="S55" i="29" a="1"/>
  <c r="S55" i="29" s="1"/>
  <c r="AX55" i="1" s="1"/>
  <c r="R52" i="29" a="1"/>
  <c r="R52" i="29" s="1"/>
  <c r="S38" i="29" a="1"/>
  <c r="S38" i="29" s="1"/>
  <c r="AX38" i="1" s="1"/>
  <c r="R35" i="29" a="1"/>
  <c r="R35" i="29" s="1"/>
  <c r="R32" i="29" a="1"/>
  <c r="R32" i="29" s="1"/>
  <c r="R71" i="29" a="1"/>
  <c r="R71" i="29" s="1"/>
  <c r="R67" i="29" a="1"/>
  <c r="R67" i="29" s="1"/>
  <c r="R63" i="29" a="1"/>
  <c r="R63" i="29" s="1"/>
  <c r="S50" i="29" a="1"/>
  <c r="S50" i="29" s="1"/>
  <c r="AX50" i="1" s="1"/>
  <c r="R46" i="29" a="1"/>
  <c r="R46" i="29" s="1"/>
  <c r="S33" i="29" a="1"/>
  <c r="S33" i="29" s="1"/>
  <c r="AX33" i="1" s="1"/>
  <c r="S29" i="29" a="1"/>
  <c r="S29" i="29" s="1"/>
  <c r="AX29" i="1" s="1"/>
  <c r="S25" i="29" a="1"/>
  <c r="S25" i="29" s="1"/>
  <c r="AX25" i="1" s="1"/>
  <c r="S21" i="29" a="1"/>
  <c r="S21" i="29" s="1"/>
  <c r="AX21" i="1" s="1"/>
  <c r="R19" i="29" a="1"/>
  <c r="R19" i="29" s="1"/>
  <c r="S39" i="29" a="1"/>
  <c r="S39" i="29" s="1"/>
  <c r="AX39" i="1" s="1"/>
  <c r="S53" i="29" a="1"/>
  <c r="S53" i="29" s="1"/>
  <c r="AX53" i="1" s="1"/>
  <c r="R50" i="29" a="1"/>
  <c r="R50" i="29" s="1"/>
  <c r="S36" i="29" a="1"/>
  <c r="S36" i="29" s="1"/>
  <c r="AX36" i="1" s="1"/>
  <c r="R33" i="29" a="1"/>
  <c r="R33" i="29" s="1"/>
  <c r="S63" i="29" a="1"/>
  <c r="S63" i="29" s="1"/>
  <c r="AX63" i="1" s="1"/>
  <c r="S67" i="29" a="1"/>
  <c r="S67" i="29" s="1"/>
  <c r="AX67" i="1" s="1"/>
  <c r="S71" i="29" a="1"/>
  <c r="S71" i="29" s="1"/>
  <c r="AX71" i="1" s="1"/>
  <c r="S77" i="29" a="1"/>
  <c r="S77" i="29" s="1"/>
  <c r="AX77" i="1" s="1"/>
  <c r="R49" i="29" a="1"/>
  <c r="R49" i="29" s="1"/>
  <c r="S76" i="29"/>
  <c r="AX76" i="1" s="1"/>
  <c r="AN75" i="1"/>
  <c r="AN33" i="1"/>
  <c r="D75" i="28"/>
  <c r="L75" i="28" s="1"/>
  <c r="K76" i="24" s="1"/>
  <c r="P76" i="24" s="1"/>
  <c r="D74" i="28"/>
  <c r="L74" i="28" s="1"/>
  <c r="K75" i="24" s="1"/>
  <c r="P75" i="24" s="1"/>
  <c r="C56" i="29"/>
  <c r="C51" i="14"/>
  <c r="E51" i="14" s="1"/>
  <c r="C45" i="30"/>
  <c r="C43" i="29"/>
  <c r="AH43" i="14"/>
  <c r="AE26" i="14"/>
  <c r="CA19" i="1"/>
  <c r="CA18" i="1" s="1"/>
  <c r="C19" i="28"/>
  <c r="Z46" i="19"/>
  <c r="Z42" i="19"/>
  <c r="AG39" i="14"/>
  <c r="AG43" i="14"/>
  <c r="Z40" i="19"/>
  <c r="Z41" i="19"/>
  <c r="T13" i="18"/>
  <c r="Z45" i="19"/>
  <c r="T15" i="18"/>
  <c r="Z24" i="19"/>
  <c r="Z34" i="19" s="1"/>
  <c r="T22" i="18"/>
  <c r="CO137" i="16" a="1"/>
  <c r="CO137" i="16" s="1"/>
  <c r="CD21" i="16"/>
  <c r="CO136" i="16" a="1"/>
  <c r="CO136" i="16" s="1"/>
  <c r="T32" i="18"/>
  <c r="AI115" i="17"/>
  <c r="AE115" i="17"/>
  <c r="T87" i="18"/>
  <c r="C38" i="14"/>
  <c r="E38" i="14" s="1"/>
  <c r="C38" i="29"/>
  <c r="B26" i="48"/>
  <c r="B26" i="49"/>
  <c r="M26" i="49" s="1"/>
  <c r="T73" i="18"/>
  <c r="T90" i="18"/>
  <c r="B25" i="49"/>
  <c r="M25" i="49" s="1"/>
  <c r="E66" i="14"/>
  <c r="AF66" i="14"/>
  <c r="E75" i="14"/>
  <c r="AF75" i="14"/>
  <c r="AE75" i="14"/>
  <c r="AH70" i="14"/>
  <c r="AE70" i="14"/>
  <c r="AF70" i="14"/>
  <c r="B27" i="49"/>
  <c r="M27" i="49" s="1"/>
  <c r="B27" i="48"/>
  <c r="B24" i="49"/>
  <c r="M24" i="49" s="1"/>
  <c r="B24" i="48"/>
  <c r="AE72" i="14"/>
  <c r="AF72" i="14"/>
  <c r="AH72" i="14"/>
  <c r="C69" i="29"/>
  <c r="AH67" i="14"/>
  <c r="AG70" i="14"/>
  <c r="C22" i="14"/>
  <c r="BS19" i="1"/>
  <c r="BT19" i="1" s="1" a="1"/>
  <c r="BT19" i="1" s="1"/>
  <c r="AF44" i="14"/>
  <c r="AH44" i="14"/>
  <c r="AH75" i="14"/>
  <c r="AG46" i="14"/>
  <c r="AH66" i="14"/>
  <c r="CC108" i="1" a="1"/>
  <c r="CC108" i="1" s="1"/>
  <c r="C22" i="29"/>
  <c r="M55" i="1"/>
  <c r="CC113" i="1" a="1"/>
  <c r="CC113" i="1" s="1"/>
  <c r="AH26" i="14"/>
  <c r="C34" i="14"/>
  <c r="AH34" i="14" s="1"/>
  <c r="AG72" i="14"/>
  <c r="AG75" i="14"/>
  <c r="AG66" i="14"/>
  <c r="M68" i="1"/>
  <c r="T111" i="18"/>
  <c r="T103" i="18"/>
  <c r="T96" i="18"/>
  <c r="T80" i="18"/>
  <c r="T106" i="18"/>
  <c r="T76" i="18"/>
  <c r="T66" i="18"/>
  <c r="T99" i="18"/>
  <c r="T95" i="18"/>
  <c r="U112" i="17"/>
  <c r="T107" i="18"/>
  <c r="T102" i="18"/>
  <c r="T89" i="18"/>
  <c r="T63" i="18"/>
  <c r="T59" i="18"/>
  <c r="T68" i="18"/>
  <c r="Y112" i="17"/>
  <c r="L112" i="17"/>
  <c r="T69" i="18"/>
  <c r="T67" i="18"/>
  <c r="T70" i="18"/>
  <c r="O112" i="17"/>
  <c r="T60" i="18"/>
  <c r="BV19" i="1"/>
  <c r="T108" i="18"/>
  <c r="T104" i="18"/>
  <c r="T74" i="18"/>
  <c r="T109" i="18"/>
  <c r="T97" i="18"/>
  <c r="T64" i="18"/>
  <c r="T61" i="18"/>
  <c r="T100" i="18"/>
  <c r="T75" i="18"/>
  <c r="CD19" i="16"/>
  <c r="CD18" i="16" s="1"/>
  <c r="CD24" i="16"/>
  <c r="CD23" i="16"/>
  <c r="AE67" i="14"/>
  <c r="AE66" i="14"/>
  <c r="AN68" i="1"/>
  <c r="AN20" i="1"/>
  <c r="J110" i="18"/>
  <c r="J106" i="18"/>
  <c r="M58" i="1"/>
  <c r="M37" i="1"/>
  <c r="M30" i="1"/>
  <c r="C19" i="15"/>
  <c r="K85" i="18"/>
  <c r="K84" i="18"/>
  <c r="K99" i="18"/>
  <c r="K91" i="18"/>
  <c r="K77" i="18"/>
  <c r="K96" i="18"/>
  <c r="K101" i="18"/>
  <c r="J84" i="18"/>
  <c r="J101" i="18"/>
  <c r="J80" i="18"/>
  <c r="J100" i="18"/>
  <c r="J90" i="18"/>
  <c r="J85" i="18"/>
  <c r="J98" i="18"/>
  <c r="J78" i="18"/>
  <c r="M70" i="1"/>
  <c r="M22" i="1"/>
  <c r="AH37" i="14"/>
  <c r="E37" i="14"/>
  <c r="AG37" i="14"/>
  <c r="C19" i="45"/>
  <c r="AE37" i="14"/>
  <c r="C37" i="29"/>
  <c r="J76" i="18"/>
  <c r="K72" i="18"/>
  <c r="AF39" i="14"/>
  <c r="AN37" i="1"/>
  <c r="AN22" i="1"/>
  <c r="M41" i="1"/>
  <c r="M42" i="1"/>
  <c r="M56" i="1"/>
  <c r="CD20" i="16"/>
  <c r="J58" i="18"/>
  <c r="CE19" i="16"/>
  <c r="CG19" i="16" s="1"/>
  <c r="CG18" i="16" s="1"/>
  <c r="AG44" i="14"/>
  <c r="AJ20" i="28"/>
  <c r="C19" i="48"/>
  <c r="E26" i="14"/>
  <c r="AE44" i="14"/>
  <c r="AH39" i="14"/>
  <c r="AF46" i="14"/>
  <c r="C19" i="49"/>
  <c r="AE39" i="14"/>
  <c r="C34" i="29"/>
  <c r="E67" i="14"/>
  <c r="AF67" i="14"/>
  <c r="C19" i="1"/>
  <c r="C19" i="29" s="1"/>
  <c r="AG26" i="14"/>
  <c r="T28" i="18"/>
  <c r="CC116" i="17" a="1"/>
  <c r="CC116" i="17" s="1"/>
  <c r="C59" i="29"/>
  <c r="C59" i="30"/>
  <c r="C59" i="14"/>
  <c r="C50" i="29"/>
  <c r="C50" i="30"/>
  <c r="C50" i="14"/>
  <c r="C60" i="30"/>
  <c r="C60" i="14"/>
  <c r="C60" i="29"/>
  <c r="AH46" i="14"/>
  <c r="E46" i="14"/>
  <c r="C21" i="29"/>
  <c r="C21" i="30"/>
  <c r="C61" i="30"/>
  <c r="C61" i="14"/>
  <c r="C61" i="29"/>
  <c r="C57" i="14"/>
  <c r="E57" i="14" s="1"/>
  <c r="C57" i="29"/>
  <c r="C57" i="30"/>
  <c r="C48" i="30"/>
  <c r="C48" i="14"/>
  <c r="C48" i="29"/>
  <c r="C42" i="29"/>
  <c r="C42" i="14"/>
  <c r="C42" i="30"/>
  <c r="C29" i="14"/>
  <c r="C29" i="29"/>
  <c r="C58" i="29"/>
  <c r="C58" i="30"/>
  <c r="C58" i="14"/>
  <c r="C53" i="14"/>
  <c r="C53" i="30"/>
  <c r="C53" i="29"/>
  <c r="C52" i="30"/>
  <c r="C52" i="14"/>
  <c r="C52" i="29"/>
  <c r="C49" i="29"/>
  <c r="C49" i="14"/>
  <c r="C49" i="30"/>
  <c r="C40" i="14"/>
  <c r="C40" i="29"/>
  <c r="C40" i="30"/>
  <c r="R30" i="29"/>
  <c r="AV30" i="1" s="1"/>
  <c r="M31" i="1"/>
  <c r="M46" i="1"/>
  <c r="M45" i="1"/>
  <c r="M35" i="1"/>
  <c r="AN62" i="1"/>
  <c r="AN63" i="1"/>
  <c r="AN21" i="1"/>
  <c r="AN72" i="1"/>
  <c r="AN61" i="1"/>
  <c r="S30" i="30"/>
  <c r="AY30" i="1" s="1"/>
  <c r="R22" i="30"/>
  <c r="S52" i="30"/>
  <c r="AY52" i="1" s="1"/>
  <c r="S23" i="30"/>
  <c r="AY23" i="1" s="1"/>
  <c r="M52" i="1"/>
  <c r="M60" i="1"/>
  <c r="M32" i="1"/>
  <c r="M21" i="1"/>
  <c r="M44" i="1"/>
  <c r="M20" i="1"/>
  <c r="K19" i="1"/>
  <c r="M65" i="1"/>
  <c r="M64" i="1"/>
  <c r="M36" i="1"/>
  <c r="M59" i="1"/>
  <c r="M53" i="1"/>
  <c r="AH36" i="14"/>
  <c r="AE36" i="14"/>
  <c r="AF36" i="14"/>
  <c r="E36" i="14"/>
  <c r="AG36" i="14"/>
  <c r="AF35" i="14"/>
  <c r="AH35" i="14"/>
  <c r="AE35" i="14"/>
  <c r="E35" i="14"/>
  <c r="AG35" i="14"/>
  <c r="E33" i="14"/>
  <c r="AG33" i="14"/>
  <c r="AH33" i="14"/>
  <c r="AE33" i="14"/>
  <c r="AF33" i="14"/>
  <c r="C32" i="14"/>
  <c r="C32" i="29"/>
  <c r="C32" i="30"/>
  <c r="AH31" i="14"/>
  <c r="AE31" i="14"/>
  <c r="E31" i="14"/>
  <c r="AG31" i="14"/>
  <c r="AF31" i="14"/>
  <c r="C30" i="30"/>
  <c r="C30" i="14"/>
  <c r="C30" i="29"/>
  <c r="C24" i="30"/>
  <c r="C24" i="14"/>
  <c r="E24" i="14" s="1"/>
  <c r="C24" i="29"/>
  <c r="C23" i="30"/>
  <c r="C23" i="14"/>
  <c r="C23" i="29"/>
  <c r="AH21" i="14"/>
  <c r="AE21" i="14"/>
  <c r="E21" i="14"/>
  <c r="AG21" i="14"/>
  <c r="AF21" i="14"/>
  <c r="BP19" i="1"/>
  <c r="BQ18" i="1"/>
  <c r="AH20" i="14"/>
  <c r="AE20" i="14"/>
  <c r="E20" i="14"/>
  <c r="AF20" i="14"/>
  <c r="AG20" i="14"/>
  <c r="S34" i="29"/>
  <c r="AX34" i="1" s="1"/>
  <c r="R20" i="29"/>
  <c r="R53" i="29"/>
  <c r="S30" i="29"/>
  <c r="AX30" i="1" s="1"/>
  <c r="S46" i="29"/>
  <c r="AX46" i="1" s="1"/>
  <c r="S44" i="29"/>
  <c r="AX44" i="1" s="1"/>
  <c r="S56" i="29"/>
  <c r="AX56" i="1" s="1"/>
  <c r="S60" i="29"/>
  <c r="AX60" i="1" s="1"/>
  <c r="R65" i="29"/>
  <c r="R60" i="30"/>
  <c r="S40" i="30"/>
  <c r="AY40" i="1" s="1"/>
  <c r="R45" i="30"/>
  <c r="R62" i="30"/>
  <c r="R43" i="29"/>
  <c r="S41" i="30"/>
  <c r="AY41" i="1" s="1"/>
  <c r="R28" i="29"/>
  <c r="AV28" i="1" s="1"/>
  <c r="R69" i="29"/>
  <c r="S59" i="29"/>
  <c r="AX59" i="1" s="1"/>
  <c r="R63" i="30"/>
  <c r="S46" i="30"/>
  <c r="AY46" i="1" s="1"/>
  <c r="R65" i="30"/>
  <c r="R22" i="29"/>
  <c r="S72" i="29"/>
  <c r="AX72" i="1" s="1"/>
  <c r="S19" i="29"/>
  <c r="R61" i="30"/>
  <c r="S44" i="30"/>
  <c r="AY44" i="1" s="1"/>
  <c r="T30" i="18"/>
  <c r="C29" i="18"/>
  <c r="C31" i="18"/>
  <c r="C28" i="18"/>
  <c r="C33" i="18"/>
  <c r="C32" i="18"/>
  <c r="T31" i="18"/>
  <c r="T33" i="18"/>
  <c r="T29" i="18"/>
  <c r="T34" i="18"/>
  <c r="C30" i="18"/>
  <c r="C27" i="18"/>
  <c r="J77" i="18" l="1"/>
  <c r="J71" i="18"/>
  <c r="J73" i="18"/>
  <c r="J70" i="18"/>
  <c r="J99" i="18"/>
  <c r="J96" i="18"/>
  <c r="J63" i="18"/>
  <c r="J60" i="18"/>
  <c r="J83" i="18"/>
  <c r="J107" i="18"/>
  <c r="J104" i="18"/>
  <c r="J75" i="18"/>
  <c r="AD19" i="15"/>
  <c r="AI19" i="15" s="1"/>
  <c r="AA19" i="15"/>
  <c r="AF19" i="15" s="1"/>
  <c r="E19" i="15" s="1"/>
  <c r="D19" i="15" s="1"/>
  <c r="AB19" i="15"/>
  <c r="AG19" i="15" s="1"/>
  <c r="AC19" i="15"/>
  <c r="AH19" i="15" s="1"/>
  <c r="D75" i="24"/>
  <c r="O45" i="24"/>
  <c r="O47" i="24"/>
  <c r="O43" i="24"/>
  <c r="O49" i="24"/>
  <c r="O67" i="24"/>
  <c r="O34" i="24"/>
  <c r="O53" i="24"/>
  <c r="O69" i="24"/>
  <c r="O55" i="24"/>
  <c r="O63" i="24"/>
  <c r="O31" i="24"/>
  <c r="O72" i="24"/>
  <c r="O54" i="24"/>
  <c r="O41" i="24"/>
  <c r="O57" i="24"/>
  <c r="O52" i="24"/>
  <c r="D76" i="24"/>
  <c r="D47" i="24"/>
  <c r="C47" i="24" s="1"/>
  <c r="O38" i="24"/>
  <c r="O27" i="24"/>
  <c r="O33" i="24"/>
  <c r="O42" i="24"/>
  <c r="O58" i="24"/>
  <c r="O66" i="24"/>
  <c r="O71" i="24"/>
  <c r="O39" i="24"/>
  <c r="O64" i="24"/>
  <c r="O62" i="24"/>
  <c r="O37" i="24"/>
  <c r="O21" i="24"/>
  <c r="O26" i="24"/>
  <c r="O25" i="24"/>
  <c r="O22" i="24"/>
  <c r="O32" i="24"/>
  <c r="O23" i="24"/>
  <c r="O40" i="24"/>
  <c r="O29" i="24"/>
  <c r="O68" i="24"/>
  <c r="CJ74" i="1"/>
  <c r="C75" i="24"/>
  <c r="CJ75" i="1"/>
  <c r="C76" i="24"/>
  <c r="CJ46" i="1"/>
  <c r="L40" i="28"/>
  <c r="L64" i="28"/>
  <c r="K65" i="24" s="1"/>
  <c r="P65" i="24" s="1"/>
  <c r="D65" i="24" s="1"/>
  <c r="L65" i="28"/>
  <c r="K66" i="24" s="1"/>
  <c r="P66" i="24" s="1"/>
  <c r="D66" i="24" s="1"/>
  <c r="L69" i="28"/>
  <c r="L72" i="28"/>
  <c r="K73" i="24" s="1"/>
  <c r="P73" i="24" s="1"/>
  <c r="D73" i="24" s="1"/>
  <c r="M75" i="28"/>
  <c r="M63" i="28"/>
  <c r="M46" i="28"/>
  <c r="M55" i="28"/>
  <c r="M74" i="28"/>
  <c r="E25" i="15"/>
  <c r="D25" i="15" s="1"/>
  <c r="E34" i="15"/>
  <c r="D34" i="15" s="1"/>
  <c r="E46" i="15"/>
  <c r="D46" i="15" s="1"/>
  <c r="E54" i="15"/>
  <c r="D54" i="15" s="1"/>
  <c r="E67" i="15"/>
  <c r="D67" i="15" s="1"/>
  <c r="E21" i="15"/>
  <c r="D21" i="15" s="1"/>
  <c r="E57" i="15"/>
  <c r="D57" i="15" s="1"/>
  <c r="E31" i="15"/>
  <c r="D31" i="15" s="1"/>
  <c r="E30" i="15"/>
  <c r="D30" i="15" s="1"/>
  <c r="E62" i="15"/>
  <c r="D62" i="15" s="1"/>
  <c r="E24" i="15"/>
  <c r="D24" i="15" s="1"/>
  <c r="E70" i="15"/>
  <c r="D70" i="15" s="1"/>
  <c r="E61" i="15"/>
  <c r="D61" i="15" s="1"/>
  <c r="E63" i="15"/>
  <c r="D63" i="15" s="1"/>
  <c r="BP26" i="16" s="1"/>
  <c r="E71" i="15"/>
  <c r="D71" i="15" s="1"/>
  <c r="AJ23" i="15"/>
  <c r="E23" i="15"/>
  <c r="D23" i="15" s="1"/>
  <c r="E64" i="15"/>
  <c r="D64" i="15" s="1"/>
  <c r="E50" i="15"/>
  <c r="D50" i="15" s="1"/>
  <c r="E59" i="15"/>
  <c r="D59" i="15" s="1"/>
  <c r="E72" i="15"/>
  <c r="D72" i="15" s="1"/>
  <c r="E60" i="15"/>
  <c r="D60" i="15" s="1"/>
  <c r="E74" i="15"/>
  <c r="D74" i="15" s="1"/>
  <c r="E55" i="15"/>
  <c r="D55" i="15" s="1"/>
  <c r="AJ35" i="15"/>
  <c r="E35" i="15"/>
  <c r="D35" i="15" s="1"/>
  <c r="E27" i="15"/>
  <c r="D27" i="15" s="1"/>
  <c r="E43" i="15"/>
  <c r="D43" i="15" s="1"/>
  <c r="E29" i="15"/>
  <c r="D29" i="15" s="1"/>
  <c r="E49" i="15"/>
  <c r="D49" i="15" s="1"/>
  <c r="E69" i="15"/>
  <c r="D69" i="15" s="1"/>
  <c r="E58" i="15"/>
  <c r="D58" i="15" s="1"/>
  <c r="E75" i="15"/>
  <c r="D75" i="15" s="1"/>
  <c r="E65" i="15"/>
  <c r="D65" i="15" s="1"/>
  <c r="E44" i="15"/>
  <c r="D44" i="15" s="1"/>
  <c r="E41" i="15"/>
  <c r="D41" i="15" s="1"/>
  <c r="E39" i="15"/>
  <c r="D39" i="15" s="1"/>
  <c r="E32" i="15"/>
  <c r="D32" i="15" s="1"/>
  <c r="E42" i="15"/>
  <c r="D42" i="15" s="1"/>
  <c r="E48" i="15"/>
  <c r="D48" i="15" s="1"/>
  <c r="E66" i="15"/>
  <c r="D66" i="15" s="1"/>
  <c r="E33" i="15"/>
  <c r="D33" i="15" s="1"/>
  <c r="E52" i="15"/>
  <c r="D52" i="15" s="1"/>
  <c r="E68" i="15"/>
  <c r="D68" i="15" s="1"/>
  <c r="E53" i="15"/>
  <c r="D53" i="15" s="1"/>
  <c r="E40" i="15"/>
  <c r="D40" i="15" s="1"/>
  <c r="E51" i="15"/>
  <c r="D51" i="15" s="1"/>
  <c r="E37" i="15"/>
  <c r="D37" i="15" s="1"/>
  <c r="E56" i="15"/>
  <c r="D56" i="15" s="1"/>
  <c r="E38" i="15"/>
  <c r="D38" i="15" s="1"/>
  <c r="E26" i="15"/>
  <c r="D26" i="15" s="1"/>
  <c r="E22" i="15"/>
  <c r="D22" i="15" s="1"/>
  <c r="E36" i="15"/>
  <c r="D36" i="15" s="1"/>
  <c r="E45" i="15"/>
  <c r="D45" i="15" s="1"/>
  <c r="E20" i="15"/>
  <c r="D20" i="15" s="1"/>
  <c r="AJ30" i="15"/>
  <c r="AJ37" i="15"/>
  <c r="AJ21" i="15"/>
  <c r="AJ33" i="15"/>
  <c r="AJ36" i="15"/>
  <c r="AJ29" i="15"/>
  <c r="AJ20" i="15"/>
  <c r="AJ27" i="15"/>
  <c r="AJ31" i="15"/>
  <c r="AJ28" i="15"/>
  <c r="AJ25" i="15"/>
  <c r="AJ34" i="15"/>
  <c r="AJ26" i="15"/>
  <c r="AJ22" i="15"/>
  <c r="AJ32" i="15"/>
  <c r="AJ24" i="15"/>
  <c r="AY26" i="17" a="1"/>
  <c r="AY26" i="17" s="1"/>
  <c r="AY22" i="17" a="1"/>
  <c r="AY22" i="17" s="1"/>
  <c r="AY25" i="17" a="1"/>
  <c r="AY25" i="17" s="1"/>
  <c r="AY21" i="17" a="1"/>
  <c r="AY21" i="17" s="1"/>
  <c r="AY24" i="17" a="1"/>
  <c r="AY24" i="17" s="1"/>
  <c r="AY20" i="17" a="1"/>
  <c r="AY20" i="17" s="1"/>
  <c r="AY27" i="17" a="1"/>
  <c r="AY27" i="17" s="1"/>
  <c r="AY23" i="17" a="1"/>
  <c r="AY23" i="17" s="1"/>
  <c r="K56" i="24"/>
  <c r="P56" i="24" s="1"/>
  <c r="D56" i="24" s="1"/>
  <c r="AX27" i="17" a="1"/>
  <c r="AX27" i="17" s="1"/>
  <c r="AX23" i="17" a="1"/>
  <c r="AX23" i="17" s="1"/>
  <c r="AX21" i="17" a="1"/>
  <c r="AX21" i="17" s="1"/>
  <c r="AX24" i="17" a="1"/>
  <c r="AX24" i="17" s="1"/>
  <c r="AX26" i="17" a="1"/>
  <c r="AX26" i="17" s="1"/>
  <c r="AX22" i="17" a="1"/>
  <c r="AX22" i="17" s="1"/>
  <c r="AX25" i="17" a="1"/>
  <c r="AX25" i="17" s="1"/>
  <c r="AX20" i="17" a="1"/>
  <c r="AX20" i="17" s="1"/>
  <c r="AV51" i="1"/>
  <c r="AR51" i="1"/>
  <c r="AT51" i="1" s="1"/>
  <c r="BA51" i="1" a="1"/>
  <c r="BA51" i="1" s="1"/>
  <c r="BB51" i="1" a="1"/>
  <c r="BB51" i="1" s="1"/>
  <c r="AW51" i="1"/>
  <c r="AZ51" i="1" s="1"/>
  <c r="BE51" i="1"/>
  <c r="D77" i="28"/>
  <c r="K41" i="24"/>
  <c r="P41" i="24" s="1"/>
  <c r="K70" i="24"/>
  <c r="P70" i="24" s="1"/>
  <c r="D70" i="24" s="1"/>
  <c r="K64" i="24"/>
  <c r="P64" i="24" s="1"/>
  <c r="AG62" i="14"/>
  <c r="J19" i="15"/>
  <c r="H19" i="15"/>
  <c r="I19" i="15"/>
  <c r="K19" i="15"/>
  <c r="AF64" i="14"/>
  <c r="E64" i="14"/>
  <c r="AG69" i="14"/>
  <c r="E69" i="14"/>
  <c r="K69" i="18"/>
  <c r="AB19" i="14" a="1"/>
  <c r="AB19" i="14" s="1"/>
  <c r="AN19" i="1" a="1"/>
  <c r="AN19" i="1" s="1"/>
  <c r="AN19" i="17" a="1"/>
  <c r="AN19" i="17" s="1"/>
  <c r="AQ19" i="16" a="1"/>
  <c r="AQ19" i="16" s="1"/>
  <c r="AR19" i="16" s="1"/>
  <c r="AR18" i="16" s="1"/>
  <c r="AG71" i="14"/>
  <c r="E65" i="14"/>
  <c r="AH64" i="14"/>
  <c r="AY19" i="1"/>
  <c r="AX19" i="1"/>
  <c r="AF63" i="14"/>
  <c r="Z43" i="19"/>
  <c r="AE63" i="14"/>
  <c r="AG63" i="14"/>
  <c r="AF65" i="14"/>
  <c r="AE65" i="14"/>
  <c r="AH55" i="14"/>
  <c r="AH56" i="14"/>
  <c r="AG65" i="14"/>
  <c r="E27" i="14"/>
  <c r="AG64" i="14"/>
  <c r="AE27" i="14"/>
  <c r="AZ29" i="1"/>
  <c r="AH62" i="14"/>
  <c r="AE45" i="14"/>
  <c r="AE62" i="14"/>
  <c r="AH45" i="14"/>
  <c r="AF62" i="14"/>
  <c r="AF55" i="14"/>
  <c r="AG27" i="14"/>
  <c r="AH71" i="14"/>
  <c r="AE56" i="14"/>
  <c r="AF56" i="14"/>
  <c r="AG56" i="14"/>
  <c r="AE55" i="14"/>
  <c r="AE64" i="14"/>
  <c r="AF27" i="14"/>
  <c r="AG55" i="14"/>
  <c r="AE71" i="14"/>
  <c r="E71" i="14"/>
  <c r="AZ28" i="1"/>
  <c r="AH63" i="14"/>
  <c r="AE22" i="14"/>
  <c r="AG22" i="14"/>
  <c r="E45" i="14"/>
  <c r="K60" i="18"/>
  <c r="K62" i="18"/>
  <c r="K70" i="18"/>
  <c r="K58" i="18"/>
  <c r="K66" i="18"/>
  <c r="AH22" i="14"/>
  <c r="E22" i="14"/>
  <c r="K82" i="18"/>
  <c r="AF68" i="14"/>
  <c r="AH68" i="14"/>
  <c r="AE25" i="14"/>
  <c r="E25" i="14"/>
  <c r="AF22" i="14"/>
  <c r="AG45" i="14"/>
  <c r="K64" i="18"/>
  <c r="K74" i="18"/>
  <c r="K80" i="18"/>
  <c r="AG68" i="14"/>
  <c r="AE68" i="14"/>
  <c r="AF25" i="14"/>
  <c r="AH25" i="14"/>
  <c r="AH38" i="14"/>
  <c r="E41" i="14"/>
  <c r="K68" i="18"/>
  <c r="K79" i="18"/>
  <c r="K78" i="18"/>
  <c r="DH47" i="1"/>
  <c r="K67" i="18"/>
  <c r="K59" i="18"/>
  <c r="K63" i="18"/>
  <c r="K83" i="18"/>
  <c r="K76" i="18"/>
  <c r="K61" i="18"/>
  <c r="K65" i="18"/>
  <c r="K71" i="18"/>
  <c r="K81" i="18"/>
  <c r="K75" i="18"/>
  <c r="K73" i="18"/>
  <c r="AZ26" i="1"/>
  <c r="AG41" i="14"/>
  <c r="AF69" i="14"/>
  <c r="AH41" i="14"/>
  <c r="AE41" i="14"/>
  <c r="AH69" i="14"/>
  <c r="AE69" i="14"/>
  <c r="AZ27" i="1"/>
  <c r="E71" i="28" a="1"/>
  <c r="E71" i="28" s="1"/>
  <c r="E56" i="28" a="1"/>
  <c r="E56" i="28" s="1"/>
  <c r="E39" i="28" a="1"/>
  <c r="E39" i="28" s="1"/>
  <c r="E51" i="28" a="1"/>
  <c r="E51" i="28" s="1"/>
  <c r="E48" i="28" a="1"/>
  <c r="E48" i="28" s="1"/>
  <c r="E62" i="28" a="1"/>
  <c r="E62" i="28" s="1"/>
  <c r="E61" i="28" a="1"/>
  <c r="E61" i="28" s="1"/>
  <c r="E54" i="28" a="1"/>
  <c r="E54" i="28" s="1"/>
  <c r="E44" i="28" a="1"/>
  <c r="E44" i="28" s="1"/>
  <c r="E41" i="28" a="1"/>
  <c r="E41" i="28" s="1"/>
  <c r="E49" i="28" a="1"/>
  <c r="E49" i="28" s="1"/>
  <c r="E50" i="28" a="1"/>
  <c r="E50" i="28" s="1"/>
  <c r="E58" i="28" a="1"/>
  <c r="E58" i="28" s="1"/>
  <c r="DH76" i="1"/>
  <c r="E43" i="28" a="1"/>
  <c r="E43" i="28" s="1"/>
  <c r="E59" i="28" a="1"/>
  <c r="E59" i="28" s="1"/>
  <c r="E70" i="28" a="1"/>
  <c r="E70" i="28" s="1"/>
  <c r="E67" i="28" a="1"/>
  <c r="E67" i="28" s="1"/>
  <c r="E60" i="28" a="1"/>
  <c r="E60" i="28" s="1"/>
  <c r="E66" i="28" a="1"/>
  <c r="E66" i="28" s="1"/>
  <c r="E52" i="28" a="1"/>
  <c r="E52" i="28" s="1"/>
  <c r="E68" i="28" a="1"/>
  <c r="E68" i="28" s="1"/>
  <c r="E53" i="28" a="1"/>
  <c r="E53" i="28" s="1"/>
  <c r="E42" i="28" a="1"/>
  <c r="E42" i="28" s="1"/>
  <c r="E57" i="28" a="1"/>
  <c r="E57" i="28" s="1"/>
  <c r="E45" i="28" a="1"/>
  <c r="E45" i="28" s="1"/>
  <c r="AV73" i="1"/>
  <c r="AR73" i="1"/>
  <c r="BB23" i="1" a="1"/>
  <c r="BB23" i="1" s="1"/>
  <c r="BA23" i="1"/>
  <c r="AZ23" i="1"/>
  <c r="BB28" i="1" a="1"/>
  <c r="BB28" i="1" s="1"/>
  <c r="BA28" i="1"/>
  <c r="AZ24" i="1"/>
  <c r="BB73" i="1" a="1"/>
  <c r="BB73" i="1" s="1"/>
  <c r="BA73" i="1" a="1"/>
  <c r="BA73" i="1" s="1"/>
  <c r="BE47" i="1"/>
  <c r="AW47" i="1"/>
  <c r="BB27" i="1" a="1"/>
  <c r="BB27" i="1" s="1"/>
  <c r="BA27" i="1"/>
  <c r="BA29" i="1"/>
  <c r="BB29" i="1" a="1"/>
  <c r="BB29" i="1" s="1"/>
  <c r="BB26" i="1" a="1"/>
  <c r="BB26" i="1" s="1"/>
  <c r="BA26" i="1"/>
  <c r="BE73" i="1"/>
  <c r="AW73" i="1"/>
  <c r="BA24" i="1"/>
  <c r="BB24" i="1" a="1"/>
  <c r="BB24" i="1" s="1"/>
  <c r="BB25" i="1" a="1"/>
  <c r="BB25" i="1" s="1"/>
  <c r="BA25" i="1"/>
  <c r="AZ25" i="1"/>
  <c r="AZ30" i="1"/>
  <c r="K103" i="18"/>
  <c r="K93" i="18"/>
  <c r="K90" i="18"/>
  <c r="K109" i="18"/>
  <c r="K106" i="18"/>
  <c r="K87" i="18"/>
  <c r="K97" i="18"/>
  <c r="AR47" i="1"/>
  <c r="AV47" i="1"/>
  <c r="BB47" i="1" a="1"/>
  <c r="BB47" i="1" s="1"/>
  <c r="BA47" i="1" a="1"/>
  <c r="BA47" i="1" s="1"/>
  <c r="K105" i="18"/>
  <c r="K107" i="18"/>
  <c r="K89" i="18"/>
  <c r="K108" i="18"/>
  <c r="K88" i="18"/>
  <c r="K86" i="18"/>
  <c r="K100" i="18"/>
  <c r="K110" i="18"/>
  <c r="K112" i="18"/>
  <c r="K94" i="18"/>
  <c r="K102" i="18"/>
  <c r="K104" i="18"/>
  <c r="K98" i="18"/>
  <c r="K95" i="18"/>
  <c r="K92" i="18"/>
  <c r="K111" i="18"/>
  <c r="K113" i="18"/>
  <c r="E47" i="14"/>
  <c r="AE47" i="14"/>
  <c r="AG47" i="14"/>
  <c r="AH47" i="14"/>
  <c r="AF47" i="14"/>
  <c r="BA74" i="1" a="1"/>
  <c r="BA74" i="1" s="1"/>
  <c r="AF38" i="14"/>
  <c r="AH54" i="14"/>
  <c r="AF54" i="14"/>
  <c r="E34" i="14"/>
  <c r="AF34" i="14"/>
  <c r="E54" i="14"/>
  <c r="AG54" i="14"/>
  <c r="AE51" i="14"/>
  <c r="AF51" i="14"/>
  <c r="AG51" i="14"/>
  <c r="AH51" i="14"/>
  <c r="E36" i="28" a="1"/>
  <c r="E36" i="28" s="1"/>
  <c r="E23" i="28" a="1"/>
  <c r="E23" i="28" s="1"/>
  <c r="E31" i="28" a="1"/>
  <c r="E31" i="28" s="1"/>
  <c r="E25" i="28" a="1"/>
  <c r="E25" i="28" s="1"/>
  <c r="E35" i="28" a="1"/>
  <c r="E35" i="28" s="1"/>
  <c r="E33" i="28" a="1"/>
  <c r="E33" i="28" s="1"/>
  <c r="E21" i="28" a="1"/>
  <c r="E21" i="28" s="1"/>
  <c r="E34" i="28" a="1"/>
  <c r="E34" i="28" s="1"/>
  <c r="E26" i="28" a="1"/>
  <c r="E20" i="28" a="1"/>
  <c r="E20" i="28" s="1"/>
  <c r="E27" i="28" a="1"/>
  <c r="E27" i="28" s="1"/>
  <c r="E38" i="28" a="1"/>
  <c r="E38" i="28" s="1"/>
  <c r="E24" i="28" a="1"/>
  <c r="E24" i="28" s="1"/>
  <c r="E28" i="28" a="1"/>
  <c r="E28" i="28" s="1"/>
  <c r="E22" i="28" a="1"/>
  <c r="E22" i="28" s="1"/>
  <c r="E32" i="28" a="1"/>
  <c r="E32" i="28" s="1"/>
  <c r="E30" i="28" a="1"/>
  <c r="E30" i="28" s="1"/>
  <c r="E29" i="28" a="1"/>
  <c r="E29" i="28" s="1"/>
  <c r="E37" i="28" a="1"/>
  <c r="E37" i="28" s="1"/>
  <c r="AW50" i="1"/>
  <c r="BE50" i="1"/>
  <c r="AW55" i="1"/>
  <c r="BE55" i="1"/>
  <c r="AW20" i="1"/>
  <c r="AW35" i="1"/>
  <c r="BE35" i="1"/>
  <c r="AW58" i="1"/>
  <c r="BE58" i="1"/>
  <c r="AW36" i="1"/>
  <c r="BE36" i="1"/>
  <c r="AW66" i="1"/>
  <c r="BE66" i="1"/>
  <c r="AW44" i="1"/>
  <c r="BE44" i="1"/>
  <c r="AW21" i="1"/>
  <c r="BE21" i="1"/>
  <c r="AW56" i="1"/>
  <c r="BE56" i="1"/>
  <c r="AW37" i="1"/>
  <c r="BE37" i="1"/>
  <c r="AW68" i="1"/>
  <c r="BE68" i="1"/>
  <c r="BE30" i="1"/>
  <c r="AW75" i="1"/>
  <c r="BE75" i="1"/>
  <c r="AW53" i="1"/>
  <c r="BE53" i="1"/>
  <c r="BE29" i="1"/>
  <c r="AW72" i="1"/>
  <c r="BE72" i="1"/>
  <c r="AW74" i="1"/>
  <c r="BE74" i="1"/>
  <c r="AW71" i="1"/>
  <c r="BE71" i="1"/>
  <c r="BE28" i="1"/>
  <c r="AW52" i="1"/>
  <c r="BE52" i="1"/>
  <c r="BE26" i="1"/>
  <c r="AW67" i="1"/>
  <c r="BE67" i="1"/>
  <c r="BE34" i="1"/>
  <c r="AW39" i="1"/>
  <c r="BE39" i="1"/>
  <c r="BI76" i="1" a="1"/>
  <c r="BI76" i="1" s="1"/>
  <c r="BE25" i="1"/>
  <c r="AW65" i="1"/>
  <c r="BE65" i="1"/>
  <c r="AW61" i="1"/>
  <c r="BE61" i="1"/>
  <c r="AW48" i="1"/>
  <c r="BE48" i="1"/>
  <c r="BE31" i="1"/>
  <c r="BE32" i="1"/>
  <c r="AW54" i="1"/>
  <c r="BE54" i="1"/>
  <c r="BI69" i="1" a="1"/>
  <c r="BI69" i="1" s="1"/>
  <c r="AW69" i="1"/>
  <c r="BE69" i="1"/>
  <c r="AW64" i="1"/>
  <c r="BE64" i="1"/>
  <c r="AW42" i="1"/>
  <c r="BE42" i="1"/>
  <c r="AW45" i="1"/>
  <c r="BE45" i="1"/>
  <c r="BE24" i="1"/>
  <c r="BE23" i="1"/>
  <c r="AW43" i="1"/>
  <c r="BE43" i="1"/>
  <c r="BE77" i="1"/>
  <c r="AW77" i="1"/>
  <c r="BE76" i="1"/>
  <c r="AW76" i="1"/>
  <c r="BE33" i="1"/>
  <c r="AW59" i="1"/>
  <c r="BE59" i="1"/>
  <c r="AW49" i="1"/>
  <c r="BE49" i="1"/>
  <c r="AW70" i="1"/>
  <c r="BE70" i="1"/>
  <c r="AW63" i="1"/>
  <c r="BE63" i="1"/>
  <c r="AW41" i="1"/>
  <c r="BE41" i="1"/>
  <c r="AW40" i="1"/>
  <c r="BE40" i="1"/>
  <c r="AW62" i="1"/>
  <c r="BE62" i="1"/>
  <c r="AW46" i="1"/>
  <c r="BE46" i="1"/>
  <c r="AW60" i="1"/>
  <c r="BE60" i="1"/>
  <c r="BE27" i="1"/>
  <c r="AW57" i="1"/>
  <c r="BE57" i="1"/>
  <c r="AW38" i="1"/>
  <c r="BE38" i="1"/>
  <c r="AW22" i="1"/>
  <c r="BE22" i="1"/>
  <c r="AV67" i="1"/>
  <c r="BA67" i="1" s="1" a="1"/>
  <c r="BA67" i="1" s="1"/>
  <c r="AR67" i="1"/>
  <c r="AT67" i="1" s="1"/>
  <c r="AV61" i="1"/>
  <c r="AR61" i="1"/>
  <c r="AV43" i="1"/>
  <c r="BA43" i="1" s="1" a="1"/>
  <c r="BA43" i="1" s="1"/>
  <c r="AR43" i="1"/>
  <c r="AV58" i="1"/>
  <c r="BA58" i="1" s="1" a="1"/>
  <c r="BA58" i="1" s="1"/>
  <c r="AR58" i="1"/>
  <c r="AV34" i="1"/>
  <c r="BA34" i="1" s="1" a="1"/>
  <c r="BA34" i="1" s="1"/>
  <c r="AR34" i="1"/>
  <c r="AV22" i="1"/>
  <c r="AR22" i="1"/>
  <c r="AV69" i="1"/>
  <c r="AR69" i="1"/>
  <c r="AV56" i="1"/>
  <c r="BB56" i="1" s="1" a="1"/>
  <c r="BB56" i="1" s="1"/>
  <c r="AR56" i="1"/>
  <c r="AU56" i="1" s="1"/>
  <c r="AV38" i="1"/>
  <c r="AZ38" i="1" s="1"/>
  <c r="AR38" i="1"/>
  <c r="AV66" i="1"/>
  <c r="AR66" i="1"/>
  <c r="AV63" i="1"/>
  <c r="AR63" i="1"/>
  <c r="AU63" i="1" s="1"/>
  <c r="BC63" i="1" s="1"/>
  <c r="AR24" i="1"/>
  <c r="BI24" i="1" s="1" a="1"/>
  <c r="BI24" i="1" s="1"/>
  <c r="AV42" i="1"/>
  <c r="AR42" i="1"/>
  <c r="AV55" i="1"/>
  <c r="BB55" i="1" s="1" a="1"/>
  <c r="BB55" i="1" s="1"/>
  <c r="AR55" i="1"/>
  <c r="AV65" i="1"/>
  <c r="AR65" i="1"/>
  <c r="AR25" i="1"/>
  <c r="AV20" i="1"/>
  <c r="BB20" i="1" s="1" a="1"/>
  <c r="BB20" i="1" s="1"/>
  <c r="AR20" i="1"/>
  <c r="AV52" i="1"/>
  <c r="BA52" i="1" s="1" a="1"/>
  <c r="BA52" i="1" s="1"/>
  <c r="AR52" i="1"/>
  <c r="AV75" i="1"/>
  <c r="BB75" i="1" s="1" a="1"/>
  <c r="BB75" i="1" s="1"/>
  <c r="AR75" i="1"/>
  <c r="AV71" i="1"/>
  <c r="BB71" i="1" s="1" a="1"/>
  <c r="BB71" i="1" s="1"/>
  <c r="AR71" i="1"/>
  <c r="AV32" i="1"/>
  <c r="BA32" i="1" s="1" a="1"/>
  <c r="BA32" i="1" s="1"/>
  <c r="AR32" i="1"/>
  <c r="AV74" i="1"/>
  <c r="AR74" i="1"/>
  <c r="AV33" i="1"/>
  <c r="BA33" i="1" s="1" a="1"/>
  <c r="BA33" i="1" s="1"/>
  <c r="AR33" i="1"/>
  <c r="AR28" i="1"/>
  <c r="BI28" i="1" s="1" a="1"/>
  <c r="BI28" i="1" s="1"/>
  <c r="AV68" i="1"/>
  <c r="BA68" i="1" s="1" a="1"/>
  <c r="BA68" i="1" s="1"/>
  <c r="AR68" i="1"/>
  <c r="AV40" i="1"/>
  <c r="AR40" i="1"/>
  <c r="AU40" i="1" s="1"/>
  <c r="AV37" i="1"/>
  <c r="AR37" i="1"/>
  <c r="AV62" i="1"/>
  <c r="BA62" i="1" s="1" a="1"/>
  <c r="BA62" i="1" s="1"/>
  <c r="AR62" i="1"/>
  <c r="AR23" i="1"/>
  <c r="AV41" i="1"/>
  <c r="BA41" i="1" s="1" a="1"/>
  <c r="BA41" i="1" s="1"/>
  <c r="AR41" i="1"/>
  <c r="AV36" i="1"/>
  <c r="BA36" i="1" s="1" a="1"/>
  <c r="BA36" i="1" s="1"/>
  <c r="AR36" i="1"/>
  <c r="AV54" i="1"/>
  <c r="BB54" i="1" s="1" a="1"/>
  <c r="BB54" i="1" s="1"/>
  <c r="AR54" i="1"/>
  <c r="AV21" i="1"/>
  <c r="AR21" i="1"/>
  <c r="BB76" i="1" a="1"/>
  <c r="BB76" i="1" s="1"/>
  <c r="BA76" i="1" a="1"/>
  <c r="BA76" i="1" s="1"/>
  <c r="BA78" i="1" a="1"/>
  <c r="BA78" i="1" s="1"/>
  <c r="BB78" i="1" a="1"/>
  <c r="BB78" i="1" s="1"/>
  <c r="AV48" i="1"/>
  <c r="AR48" i="1"/>
  <c r="AV60" i="1"/>
  <c r="BB60" i="1" s="1" a="1"/>
  <c r="BB60" i="1" s="1"/>
  <c r="AR60" i="1"/>
  <c r="AR26" i="1"/>
  <c r="AV45" i="1"/>
  <c r="AR45" i="1"/>
  <c r="AV76" i="1"/>
  <c r="AR76" i="1"/>
  <c r="AR29" i="1"/>
  <c r="AV64" i="1"/>
  <c r="BA64" i="1" s="1" a="1"/>
  <c r="BA64" i="1" s="1"/>
  <c r="AR64" i="1"/>
  <c r="AV49" i="1"/>
  <c r="BB49" i="1" s="1" a="1"/>
  <c r="BB49" i="1" s="1"/>
  <c r="AR49" i="1"/>
  <c r="AV70" i="1"/>
  <c r="BA70" i="1" s="1" a="1"/>
  <c r="BA70" i="1" s="1"/>
  <c r="AR70" i="1"/>
  <c r="BB31" i="1" a="1"/>
  <c r="BB31" i="1" s="1"/>
  <c r="AR31" i="1"/>
  <c r="AV50" i="1"/>
  <c r="BA50" i="1" s="1" a="1"/>
  <c r="BA50" i="1" s="1"/>
  <c r="AR50" i="1"/>
  <c r="AV44" i="1"/>
  <c r="BB44" i="1" s="1" a="1"/>
  <c r="BB44" i="1" s="1"/>
  <c r="AR44" i="1"/>
  <c r="AV46" i="1"/>
  <c r="BA46" i="1" s="1" a="1"/>
  <c r="BA46" i="1" s="1"/>
  <c r="AR46" i="1"/>
  <c r="AV72" i="1"/>
  <c r="AR72" i="1"/>
  <c r="AV57" i="1"/>
  <c r="BA57" i="1" s="1" a="1"/>
  <c r="BA57" i="1" s="1"/>
  <c r="AR57" i="1"/>
  <c r="AR27" i="1"/>
  <c r="BI27" i="1" s="1" a="1"/>
  <c r="BI27" i="1" s="1"/>
  <c r="AV59" i="1"/>
  <c r="BB59" i="1" s="1" a="1"/>
  <c r="BB59" i="1" s="1"/>
  <c r="AR59" i="1"/>
  <c r="AV39" i="1"/>
  <c r="BB39" i="1" s="1" a="1"/>
  <c r="BB39" i="1" s="1"/>
  <c r="AR39" i="1"/>
  <c r="AV53" i="1"/>
  <c r="BA53" i="1" s="1" a="1"/>
  <c r="BA53" i="1" s="1"/>
  <c r="AR53" i="1"/>
  <c r="BB30" i="1" a="1"/>
  <c r="BB30" i="1" s="1"/>
  <c r="AR30" i="1"/>
  <c r="AV77" i="1"/>
  <c r="BB77" i="1" s="1" a="1"/>
  <c r="BB77" i="1" s="1"/>
  <c r="AR77" i="1"/>
  <c r="AV35" i="1"/>
  <c r="BB35" i="1" s="1" a="1"/>
  <c r="BB35" i="1" s="1"/>
  <c r="AR35" i="1"/>
  <c r="C7" i="11"/>
  <c r="C7" i="16" s="1"/>
  <c r="AE38" i="14"/>
  <c r="AG38" i="14"/>
  <c r="AG34" i="14"/>
  <c r="AE34" i="14"/>
  <c r="F19" i="28"/>
  <c r="C19" i="14"/>
  <c r="E19" i="14" s="1"/>
  <c r="C19" i="32"/>
  <c r="C8" i="1"/>
  <c r="C8" i="11" s="1"/>
  <c r="T12" i="18"/>
  <c r="Z44" i="19"/>
  <c r="CC112" i="17" a="1"/>
  <c r="CC112" i="17" s="1"/>
  <c r="C19" i="30"/>
  <c r="BU19" i="1" a="1"/>
  <c r="BU19" i="1" s="1"/>
  <c r="BI59" i="1" a="1"/>
  <c r="BI59" i="1" s="1"/>
  <c r="E60" i="14"/>
  <c r="AQ18" i="1"/>
  <c r="E26" i="28"/>
  <c r="P18" i="1"/>
  <c r="M19" i="1"/>
  <c r="BI45" i="1" a="1"/>
  <c r="BI45" i="1" s="1"/>
  <c r="BI72" i="1" a="1"/>
  <c r="BI72" i="1" s="1"/>
  <c r="BI66" i="1" a="1"/>
  <c r="BI66" i="1" s="1"/>
  <c r="AG29" i="14"/>
  <c r="AH29" i="14"/>
  <c r="AE29" i="14"/>
  <c r="AF29" i="14"/>
  <c r="E29" i="14"/>
  <c r="E50" i="14"/>
  <c r="AE50" i="14"/>
  <c r="AF50" i="14"/>
  <c r="AG50" i="14"/>
  <c r="AH50" i="14"/>
  <c r="E40" i="14"/>
  <c r="AE40" i="14"/>
  <c r="AF40" i="14"/>
  <c r="AG40" i="14"/>
  <c r="AH40" i="14"/>
  <c r="E48" i="14"/>
  <c r="AH48" i="14"/>
  <c r="AE48" i="14"/>
  <c r="AF48" i="14"/>
  <c r="AG48" i="14"/>
  <c r="AG57" i="14"/>
  <c r="AH57" i="14"/>
  <c r="AF57" i="14"/>
  <c r="AE57" i="14"/>
  <c r="E52" i="14"/>
  <c r="AF52" i="14"/>
  <c r="AG52" i="14"/>
  <c r="AH52" i="14"/>
  <c r="AE52" i="14"/>
  <c r="AH53" i="14"/>
  <c r="E53" i="14"/>
  <c r="AE53" i="14"/>
  <c r="AG53" i="14"/>
  <c r="AF53" i="14"/>
  <c r="E42" i="14"/>
  <c r="AE42" i="14"/>
  <c r="AG42" i="14"/>
  <c r="AH42" i="14"/>
  <c r="AF42" i="14"/>
  <c r="AH60" i="14"/>
  <c r="AE60" i="14"/>
  <c r="AG60" i="14"/>
  <c r="AF60" i="14"/>
  <c r="E49" i="14"/>
  <c r="AH49" i="14"/>
  <c r="AE49" i="14"/>
  <c r="AF49" i="14"/>
  <c r="AG49" i="14"/>
  <c r="E58" i="14"/>
  <c r="AF58" i="14"/>
  <c r="AE58" i="14"/>
  <c r="AG58" i="14"/>
  <c r="AH58" i="14"/>
  <c r="E61" i="14"/>
  <c r="AE61" i="14"/>
  <c r="AG61" i="14"/>
  <c r="AF61" i="14"/>
  <c r="AH61" i="14"/>
  <c r="E59" i="14"/>
  <c r="AH59" i="14"/>
  <c r="AE59" i="14"/>
  <c r="AF59" i="14"/>
  <c r="AG59" i="14"/>
  <c r="AH32" i="14"/>
  <c r="AE32" i="14"/>
  <c r="AG32" i="14"/>
  <c r="E32" i="14"/>
  <c r="AF32" i="14"/>
  <c r="E30" i="14"/>
  <c r="AF30" i="14"/>
  <c r="AG30" i="14"/>
  <c r="AH30" i="14"/>
  <c r="AE30" i="14"/>
  <c r="AG24" i="14"/>
  <c r="AH24" i="14"/>
  <c r="AF24" i="14"/>
  <c r="AE24" i="14"/>
  <c r="E23" i="14"/>
  <c r="AG23" i="14"/>
  <c r="AH23" i="14"/>
  <c r="AF23" i="14"/>
  <c r="AE23" i="14"/>
  <c r="BA66" i="1" a="1"/>
  <c r="BA66" i="1" s="1"/>
  <c r="BB66" i="1" a="1"/>
  <c r="BB66" i="1" s="1"/>
  <c r="BB45" i="1" a="1"/>
  <c r="BB45" i="1" s="1"/>
  <c r="BA45" i="1" a="1"/>
  <c r="BA45" i="1" s="1"/>
  <c r="BA40" i="1" a="1"/>
  <c r="BA40" i="1" s="1"/>
  <c r="BB40" i="1" a="1"/>
  <c r="BB40" i="1" s="1"/>
  <c r="AU21" i="1"/>
  <c r="BC42" i="1"/>
  <c r="AU42" i="1"/>
  <c r="BC69" i="1"/>
  <c r="AU69" i="1"/>
  <c r="AU75" i="1"/>
  <c r="BC75" i="1"/>
  <c r="BA30" i="1" a="1"/>
  <c r="BA30" i="1" s="1"/>
  <c r="BB63" i="1" a="1"/>
  <c r="BB63" i="1" s="1"/>
  <c r="BA63" i="1" a="1"/>
  <c r="BA63" i="1" s="1"/>
  <c r="BB43" i="1" a="1"/>
  <c r="BB43" i="1" s="1"/>
  <c r="BA42" i="1" a="1"/>
  <c r="BA42" i="1" s="1"/>
  <c r="BB42" i="1" a="1"/>
  <c r="BB42" i="1" s="1"/>
  <c r="AS19" i="1"/>
  <c r="BC65" i="1"/>
  <c r="AU65" i="1"/>
  <c r="AU59" i="1"/>
  <c r="BA72" i="1" a="1"/>
  <c r="BA72" i="1" s="1"/>
  <c r="BB72" i="1" a="1"/>
  <c r="BB72" i="1" s="1"/>
  <c r="AU45" i="1"/>
  <c r="BC45" i="1"/>
  <c r="BC43" i="1"/>
  <c r="AU43" i="1"/>
  <c r="BC72" i="1"/>
  <c r="AU72" i="1"/>
  <c r="AU66" i="1"/>
  <c r="BC66" i="1" s="1"/>
  <c r="BA69" i="1" a="1"/>
  <c r="BA69" i="1" s="1"/>
  <c r="BB69" i="1" a="1"/>
  <c r="BB69" i="1" s="1"/>
  <c r="BA65" i="1" a="1"/>
  <c r="BA65" i="1" s="1"/>
  <c r="BB65" i="1" a="1"/>
  <c r="BB65" i="1" s="1"/>
  <c r="AU74" i="1"/>
  <c r="BC74" i="1"/>
  <c r="D41" i="24" l="1"/>
  <c r="BP23" i="16"/>
  <c r="BP21" i="16"/>
  <c r="BP22" i="16"/>
  <c r="O20" i="24"/>
  <c r="BP20" i="16"/>
  <c r="BP25" i="16"/>
  <c r="BP27" i="16"/>
  <c r="BR27" i="16" s="1"/>
  <c r="D64" i="24"/>
  <c r="CJ63" i="1" s="1"/>
  <c r="BP24" i="16"/>
  <c r="C56" i="24"/>
  <c r="CJ55" i="1"/>
  <c r="C65" i="24"/>
  <c r="CJ64" i="1"/>
  <c r="C73" i="24"/>
  <c r="CJ72" i="1"/>
  <c r="C64" i="24"/>
  <c r="CJ40" i="1"/>
  <c r="C41" i="24"/>
  <c r="CJ69" i="1"/>
  <c r="C70" i="24"/>
  <c r="C66" i="24"/>
  <c r="CJ65" i="1"/>
  <c r="M77" i="28"/>
  <c r="L77" i="28"/>
  <c r="K78" i="24" s="1"/>
  <c r="P78" i="24" s="1"/>
  <c r="D78" i="24" s="1"/>
  <c r="BB62" i="1" a="1"/>
  <c r="BB62" i="1" s="1"/>
  <c r="BB34" i="1" a="1"/>
  <c r="BB34" i="1" s="1"/>
  <c r="BA35" i="1" a="1"/>
  <c r="BA35" i="1" s="1"/>
  <c r="BA39" i="1" a="1"/>
  <c r="BA39" i="1" s="1"/>
  <c r="BI29" i="1" a="1"/>
  <c r="BI29" i="1" s="1"/>
  <c r="BI63" i="1" a="1"/>
  <c r="BI63" i="1" s="1"/>
  <c r="BE21" i="17" a="1"/>
  <c r="BE21" i="17" s="1"/>
  <c r="BE24" i="17" a="1"/>
  <c r="BE24" i="17" s="1"/>
  <c r="BI25" i="1" a="1"/>
  <c r="BI25" i="1" s="1"/>
  <c r="AW26" i="17" a="1"/>
  <c r="AW26" i="17" s="1"/>
  <c r="AW22" i="17" a="1"/>
  <c r="AW22" i="17" s="1"/>
  <c r="AW25" i="17" a="1"/>
  <c r="AW25" i="17" s="1"/>
  <c r="AW21" i="17" a="1"/>
  <c r="AW21" i="17" s="1"/>
  <c r="AW24" i="17" a="1"/>
  <c r="AW24" i="17" s="1"/>
  <c r="AW20" i="17" a="1"/>
  <c r="AW20" i="17" s="1"/>
  <c r="AW27" i="17" a="1"/>
  <c r="AW27" i="17" s="1"/>
  <c r="AW23" i="17" a="1"/>
  <c r="AW23" i="17" s="1"/>
  <c r="BE23" i="17" a="1"/>
  <c r="BE23" i="17" s="1"/>
  <c r="BE25" i="17" a="1"/>
  <c r="BE25" i="17" s="1"/>
  <c r="BB58" i="1" a="1"/>
  <c r="BB58" i="1" s="1"/>
  <c r="BE20" i="17" a="1"/>
  <c r="BE20" i="17" s="1"/>
  <c r="BE22" i="17" a="1"/>
  <c r="BE22" i="17" s="1"/>
  <c r="BB57" i="1" a="1"/>
  <c r="BB57" i="1" s="1"/>
  <c r="AR27" i="17" a="1"/>
  <c r="AR27" i="17" s="1"/>
  <c r="AR23" i="17" a="1"/>
  <c r="AR23" i="17" s="1"/>
  <c r="AR25" i="17" a="1"/>
  <c r="AR25" i="17" s="1"/>
  <c r="AR24" i="17" a="1"/>
  <c r="AR24" i="17" s="1"/>
  <c r="AR26" i="17" a="1"/>
  <c r="AR26" i="17" s="1"/>
  <c r="AR22" i="17" a="1"/>
  <c r="AR22" i="17" s="1"/>
  <c r="AR21" i="17" a="1"/>
  <c r="AR21" i="17" s="1"/>
  <c r="AR20" i="17" a="1"/>
  <c r="AR20" i="17" s="1"/>
  <c r="AV27" i="17" a="1"/>
  <c r="AV27" i="17" s="1"/>
  <c r="AV23" i="17" a="1"/>
  <c r="AV23" i="17" s="1"/>
  <c r="AV25" i="17" a="1"/>
  <c r="AV25" i="17" s="1"/>
  <c r="AV24" i="17" a="1"/>
  <c r="AV24" i="17" s="1"/>
  <c r="AV26" i="17" a="1"/>
  <c r="AV26" i="17" s="1"/>
  <c r="AV22" i="17" a="1"/>
  <c r="AV22" i="17" s="1"/>
  <c r="AV21" i="17" a="1"/>
  <c r="AV21" i="17" s="1"/>
  <c r="BB21" i="17" s="1" a="1"/>
  <c r="BB21" i="17" s="1"/>
  <c r="AV20" i="17" a="1"/>
  <c r="AV20" i="17" s="1"/>
  <c r="AU47" i="1"/>
  <c r="BC47" i="1" s="1"/>
  <c r="BI47" i="1" a="1"/>
  <c r="BI47" i="1" s="1"/>
  <c r="D26" i="28"/>
  <c r="D29" i="28"/>
  <c r="D28" i="28"/>
  <c r="D27" i="28"/>
  <c r="D34" i="28"/>
  <c r="D25" i="28"/>
  <c r="D42" i="28"/>
  <c r="D66" i="28"/>
  <c r="D59" i="28"/>
  <c r="D50" i="28"/>
  <c r="D54" i="28"/>
  <c r="D51" i="28"/>
  <c r="D37" i="28"/>
  <c r="D35" i="28"/>
  <c r="D70" i="28"/>
  <c r="D44" i="28"/>
  <c r="D30" i="28"/>
  <c r="D24" i="28"/>
  <c r="D21" i="28"/>
  <c r="D31" i="28"/>
  <c r="D53" i="28"/>
  <c r="D60" i="28"/>
  <c r="D43" i="28"/>
  <c r="D49" i="28"/>
  <c r="D61" i="28"/>
  <c r="D39" i="28"/>
  <c r="D22" i="28"/>
  <c r="D36" i="28"/>
  <c r="D57" i="28"/>
  <c r="D52" i="28"/>
  <c r="D58" i="28"/>
  <c r="D48" i="28"/>
  <c r="D71" i="28"/>
  <c r="D32" i="28"/>
  <c r="D38" i="28"/>
  <c r="D33" i="28"/>
  <c r="D23" i="28"/>
  <c r="D45" i="28"/>
  <c r="D68" i="28"/>
  <c r="D41" i="28"/>
  <c r="D62" i="28"/>
  <c r="D56" i="28"/>
  <c r="BB67" i="1" a="1"/>
  <c r="BB67" i="1" s="1"/>
  <c r="DH46" i="1"/>
  <c r="BA77" i="1" a="1"/>
  <c r="BA77" i="1" s="1"/>
  <c r="BA59" i="1" a="1"/>
  <c r="BA59" i="1" s="1"/>
  <c r="C7" i="17"/>
  <c r="BA54" i="1" a="1"/>
  <c r="BA54" i="1" s="1"/>
  <c r="BB38" i="1" a="1"/>
  <c r="BB38" i="1" s="1"/>
  <c r="D67" i="28"/>
  <c r="D20" i="28"/>
  <c r="BB50" i="1" a="1"/>
  <c r="BB50" i="1" s="1"/>
  <c r="BA38" i="1" a="1"/>
  <c r="BA38" i="1" s="1"/>
  <c r="BB53" i="1" a="1"/>
  <c r="BB53" i="1" s="1"/>
  <c r="BB33" i="1" a="1"/>
  <c r="BB33" i="1" s="1"/>
  <c r="BB41" i="1" a="1"/>
  <c r="BB41" i="1" s="1"/>
  <c r="AZ62" i="1"/>
  <c r="AT35" i="1"/>
  <c r="AU37" i="1"/>
  <c r="BC37" i="1" s="1"/>
  <c r="AT68" i="1"/>
  <c r="AT55" i="1"/>
  <c r="AT57" i="1"/>
  <c r="AT46" i="1"/>
  <c r="AU70" i="1"/>
  <c r="BC70" i="1" s="1"/>
  <c r="AT64" i="1"/>
  <c r="AT60" i="1"/>
  <c r="AT21" i="1"/>
  <c r="AT36" i="1"/>
  <c r="AT74" i="1"/>
  <c r="AT75" i="1"/>
  <c r="AT63" i="1"/>
  <c r="AT38" i="1"/>
  <c r="AT69" i="1"/>
  <c r="AT34" i="1"/>
  <c r="AT47" i="1"/>
  <c r="AT59" i="1"/>
  <c r="AT45" i="1"/>
  <c r="AT62" i="1"/>
  <c r="AT40" i="1"/>
  <c r="AT65" i="1"/>
  <c r="AT42" i="1"/>
  <c r="AT72" i="1"/>
  <c r="AT44" i="1"/>
  <c r="AT49" i="1"/>
  <c r="AT48" i="1"/>
  <c r="AT41" i="1"/>
  <c r="AT33" i="1"/>
  <c r="AT52" i="1"/>
  <c r="AT56" i="1"/>
  <c r="AU22" i="1"/>
  <c r="BC22" i="1" s="1"/>
  <c r="AU58" i="1"/>
  <c r="BC58" i="1" s="1"/>
  <c r="AU61" i="1"/>
  <c r="BC61" i="1" s="1"/>
  <c r="AT73" i="1"/>
  <c r="AT50" i="1"/>
  <c r="AT43" i="1"/>
  <c r="BA71" i="1" a="1"/>
  <c r="BA71" i="1" s="1"/>
  <c r="AT54" i="1"/>
  <c r="AT71" i="1"/>
  <c r="AT66" i="1"/>
  <c r="AT39" i="1"/>
  <c r="AT76" i="1"/>
  <c r="AT26" i="1"/>
  <c r="AT23" i="1"/>
  <c r="AT22" i="1"/>
  <c r="AZ54" i="1"/>
  <c r="BI56" i="1" a="1"/>
  <c r="BI56" i="1" s="1"/>
  <c r="BA20" i="1" a="1"/>
  <c r="BA20" i="1" s="1"/>
  <c r="C7" i="1"/>
  <c r="C4" i="37"/>
  <c r="DH73" i="1"/>
  <c r="AT58" i="1"/>
  <c r="AZ66" i="1"/>
  <c r="AU55" i="1"/>
  <c r="BC55" i="1" s="1"/>
  <c r="BI30" i="1" a="1"/>
  <c r="BI30" i="1" s="1"/>
  <c r="AZ42" i="1"/>
  <c r="BI61" i="1" a="1"/>
  <c r="BI61" i="1" s="1"/>
  <c r="BB52" i="1" a="1"/>
  <c r="BB52" i="1" s="1"/>
  <c r="BI55" i="1" a="1"/>
  <c r="BI55" i="1" s="1"/>
  <c r="BA56" i="1" a="1"/>
  <c r="BA56" i="1" s="1"/>
  <c r="BI53" i="1" a="1"/>
  <c r="BI53" i="1" s="1"/>
  <c r="AT61" i="1"/>
  <c r="BI48" i="1" a="1"/>
  <c r="BI48" i="1" s="1"/>
  <c r="AZ58" i="1"/>
  <c r="AZ72" i="1"/>
  <c r="AU35" i="1"/>
  <c r="BC35" i="1" s="1"/>
  <c r="BB68" i="1" a="1"/>
  <c r="BB68" i="1" s="1"/>
  <c r="BI60" i="1" a="1"/>
  <c r="BI60" i="1" s="1"/>
  <c r="BI62" i="1" a="1"/>
  <c r="BI62" i="1" s="1"/>
  <c r="BI32" i="1" a="1"/>
  <c r="BI32" i="1" s="1"/>
  <c r="BI39" i="1" a="1"/>
  <c r="BI39" i="1" s="1"/>
  <c r="AZ71" i="1"/>
  <c r="BI75" i="1" a="1"/>
  <c r="BI75" i="1" s="1"/>
  <c r="AU39" i="1"/>
  <c r="BC39" i="1" s="1"/>
  <c r="AU64" i="1"/>
  <c r="BC64" i="1" s="1"/>
  <c r="BI21" i="1" a="1"/>
  <c r="BI21" i="1" s="1"/>
  <c r="BI64" i="1" a="1"/>
  <c r="BI64" i="1" s="1"/>
  <c r="BB74" i="1" a="1"/>
  <c r="BB74" i="1" s="1"/>
  <c r="AU46" i="1"/>
  <c r="BC46" i="1" s="1"/>
  <c r="BI43" i="1" a="1"/>
  <c r="BI43" i="1" s="1"/>
  <c r="AU50" i="1"/>
  <c r="BC50" i="1" s="1"/>
  <c r="BI35" i="1" a="1"/>
  <c r="BI35" i="1" s="1"/>
  <c r="AU54" i="1"/>
  <c r="BC54" i="1" s="1"/>
  <c r="BI42" i="1" a="1"/>
  <c r="BI42" i="1" s="1"/>
  <c r="BI41" i="1" a="1"/>
  <c r="BI41" i="1" s="1"/>
  <c r="AU48" i="1"/>
  <c r="BC48" i="1" s="1"/>
  <c r="AZ67" i="1"/>
  <c r="AU41" i="1"/>
  <c r="BI70" i="1" a="1"/>
  <c r="BI70" i="1" s="1"/>
  <c r="BA37" i="1" a="1"/>
  <c r="BA37" i="1" s="1"/>
  <c r="AU44" i="1"/>
  <c r="BC44" i="1" s="1"/>
  <c r="BB32" i="1" a="1"/>
  <c r="BB32" i="1" s="1"/>
  <c r="AZ21" i="1"/>
  <c r="BI40" i="1" a="1"/>
  <c r="BI40" i="1" s="1"/>
  <c r="AZ70" i="1"/>
  <c r="BI54" i="1" a="1"/>
  <c r="BI54" i="1" s="1"/>
  <c r="AZ65" i="1"/>
  <c r="BI74" i="1" a="1"/>
  <c r="BI74" i="1" s="1"/>
  <c r="BI58" i="1" a="1"/>
  <c r="BI58" i="1" s="1"/>
  <c r="AZ35" i="1"/>
  <c r="AZ63" i="1"/>
  <c r="AZ55" i="1"/>
  <c r="BI37" i="1" a="1"/>
  <c r="BI37" i="1" s="1"/>
  <c r="AZ47" i="1"/>
  <c r="AZ73" i="1"/>
  <c r="BI31" i="1" a="1"/>
  <c r="BI31" i="1" s="1"/>
  <c r="AU31" i="1"/>
  <c r="BC31" i="1" s="1"/>
  <c r="AU29" i="1"/>
  <c r="BC29" i="1" s="1"/>
  <c r="AT29" i="1"/>
  <c r="AZ45" i="1"/>
  <c r="AT28" i="1"/>
  <c r="AU28" i="1"/>
  <c r="AU30" i="1"/>
  <c r="BC30" i="1" s="1"/>
  <c r="AT30" i="1"/>
  <c r="AT27" i="1"/>
  <c r="AU27" i="1"/>
  <c r="AZ68" i="1"/>
  <c r="AT24" i="1"/>
  <c r="AU24" i="1"/>
  <c r="AZ22" i="1"/>
  <c r="AZ61" i="1"/>
  <c r="AT32" i="1"/>
  <c r="AU32" i="1"/>
  <c r="BC32" i="1" s="1"/>
  <c r="AU25" i="1"/>
  <c r="AT25" i="1"/>
  <c r="AN18" i="1"/>
  <c r="AU62" i="1"/>
  <c r="BB48" i="1" a="1"/>
  <c r="BB48" i="1" s="1"/>
  <c r="AT31" i="1"/>
  <c r="BI22" i="1" a="1"/>
  <c r="BI22" i="1" s="1"/>
  <c r="AZ31" i="1"/>
  <c r="BA31" i="1" a="1"/>
  <c r="BA31" i="1" s="1"/>
  <c r="BA49" i="1" a="1"/>
  <c r="BA49" i="1" s="1"/>
  <c r="BA44" i="1" a="1"/>
  <c r="BA44" i="1" s="1"/>
  <c r="AU38" i="1"/>
  <c r="BA48" i="1" a="1"/>
  <c r="BA48" i="1" s="1"/>
  <c r="AU34" i="1"/>
  <c r="BC34" i="1" s="1"/>
  <c r="BI52" i="1" a="1"/>
  <c r="BI52" i="1" s="1"/>
  <c r="AU68" i="1"/>
  <c r="BA55" i="1" a="1"/>
  <c r="BA55" i="1" s="1"/>
  <c r="AZ56" i="1"/>
  <c r="BI23" i="1" a="1"/>
  <c r="BI23" i="1" s="1"/>
  <c r="AU53" i="1"/>
  <c r="BC53" i="1" s="1"/>
  <c r="BB61" i="1" a="1"/>
  <c r="BB61" i="1" s="1"/>
  <c r="BA22" i="1"/>
  <c r="BI36" i="1" a="1"/>
  <c r="BI36" i="1" s="1"/>
  <c r="AT37" i="1"/>
  <c r="BI68" i="1" a="1"/>
  <c r="BI68" i="1" s="1"/>
  <c r="AZ40" i="1"/>
  <c r="AZ41" i="1"/>
  <c r="AZ33" i="1"/>
  <c r="AZ32" i="1"/>
  <c r="AZ48" i="1"/>
  <c r="AZ34" i="1"/>
  <c r="AZ74" i="1"/>
  <c r="BA75" i="1" a="1"/>
  <c r="BA75" i="1" s="1"/>
  <c r="AU36" i="1"/>
  <c r="BA61" i="1" a="1"/>
  <c r="BA61" i="1" s="1"/>
  <c r="BB22" i="1" a="1"/>
  <c r="BB22" i="1" s="1"/>
  <c r="AU49" i="1"/>
  <c r="BC49" i="1" s="1"/>
  <c r="AZ75" i="1"/>
  <c r="AU60" i="1"/>
  <c r="AU23" i="1"/>
  <c r="BI49" i="1" a="1"/>
  <c r="BI49" i="1" s="1"/>
  <c r="BI44" i="1" a="1"/>
  <c r="BI44" i="1" s="1"/>
  <c r="AZ77" i="1"/>
  <c r="AZ57" i="1"/>
  <c r="AZ49" i="1"/>
  <c r="AZ39" i="1"/>
  <c r="AZ52" i="1"/>
  <c r="AZ44" i="1"/>
  <c r="AZ76" i="1"/>
  <c r="E19" i="28" a="1"/>
  <c r="AZ59" i="1"/>
  <c r="AZ50" i="1"/>
  <c r="BB64" i="1" a="1"/>
  <c r="BB64" i="1" s="1"/>
  <c r="BB37" i="1" a="1"/>
  <c r="BB37" i="1" s="1"/>
  <c r="AV19" i="1"/>
  <c r="BB70" i="1" a="1"/>
  <c r="BB70" i="1" s="1"/>
  <c r="BA21" i="1" a="1"/>
  <c r="BA21" i="1" s="1"/>
  <c r="AU52" i="1"/>
  <c r="AZ64" i="1"/>
  <c r="BI65" i="1" a="1"/>
  <c r="BI65" i="1" s="1"/>
  <c r="BI71" i="1" a="1"/>
  <c r="BI71" i="1" s="1"/>
  <c r="BI67" i="1" a="1"/>
  <c r="BI67" i="1" s="1"/>
  <c r="BI38" i="1" a="1"/>
  <c r="BI38" i="1" s="1"/>
  <c r="AZ36" i="1"/>
  <c r="AU67" i="1"/>
  <c r="BB36" i="1" a="1"/>
  <c r="BB36" i="1" s="1"/>
  <c r="BA60" i="1" a="1"/>
  <c r="BA60" i="1" s="1"/>
  <c r="AZ37" i="1"/>
  <c r="BB46" i="1" a="1"/>
  <c r="BB46" i="1" s="1"/>
  <c r="AU20" i="1"/>
  <c r="BC20" i="1" s="1"/>
  <c r="BB21" i="1" a="1"/>
  <c r="BB21" i="1" s="1"/>
  <c r="AT20" i="1"/>
  <c r="AZ46" i="1"/>
  <c r="BI20" i="1" a="1"/>
  <c r="BI20" i="1" s="1"/>
  <c r="BI33" i="1" a="1"/>
  <c r="BI33" i="1" s="1"/>
  <c r="AZ53" i="1"/>
  <c r="AU71" i="1"/>
  <c r="BC71" i="1" s="1"/>
  <c r="BI34" i="1" a="1"/>
  <c r="BI34" i="1" s="1"/>
  <c r="AU33" i="1"/>
  <c r="AZ69" i="1"/>
  <c r="AW19" i="1"/>
  <c r="AZ20" i="1"/>
  <c r="BF19" i="1"/>
  <c r="AZ43" i="1"/>
  <c r="BE19" i="1"/>
  <c r="AU57" i="1"/>
  <c r="BI57" i="1" a="1"/>
  <c r="BI57" i="1" s="1"/>
  <c r="AZ60" i="1"/>
  <c r="BI50" i="1" a="1"/>
  <c r="BI50" i="1" s="1"/>
  <c r="AT70" i="1"/>
  <c r="AT53" i="1"/>
  <c r="BI46" i="1" a="1"/>
  <c r="BI46" i="1" s="1"/>
  <c r="BI77" i="1" a="1"/>
  <c r="BI77" i="1" s="1"/>
  <c r="AT77" i="1"/>
  <c r="AU77" i="1"/>
  <c r="BC77" i="1" s="1"/>
  <c r="AT78" i="1"/>
  <c r="BI78" i="1" a="1"/>
  <c r="BI78" i="1" s="1"/>
  <c r="AU78" i="1"/>
  <c r="BC78" i="1" s="1"/>
  <c r="AE19" i="14"/>
  <c r="AF19" i="14"/>
  <c r="AH19" i="14"/>
  <c r="AG19" i="14"/>
  <c r="BC40" i="1"/>
  <c r="BC59" i="1"/>
  <c r="BC21" i="1"/>
  <c r="BC56" i="1"/>
  <c r="M18" i="1"/>
  <c r="C78" i="24" l="1"/>
  <c r="CJ77" i="1"/>
  <c r="DH77" i="1" s="1"/>
  <c r="F115" i="18" s="1"/>
  <c r="M62" i="28"/>
  <c r="L62" i="28"/>
  <c r="K63" i="24" s="1"/>
  <c r="P63" i="24" s="1"/>
  <c r="D63" i="24" s="1"/>
  <c r="M68" i="28"/>
  <c r="L68" i="28"/>
  <c r="K69" i="24" s="1"/>
  <c r="P69" i="24" s="1"/>
  <c r="D69" i="24" s="1"/>
  <c r="M23" i="28"/>
  <c r="L23" i="28"/>
  <c r="K24" i="24" s="1"/>
  <c r="P24" i="24" s="1"/>
  <c r="D24" i="24" s="1"/>
  <c r="L38" i="28"/>
  <c r="K39" i="24" s="1"/>
  <c r="P39" i="24" s="1"/>
  <c r="D39" i="24" s="1"/>
  <c r="M38" i="28"/>
  <c r="L71" i="28"/>
  <c r="K72" i="24" s="1"/>
  <c r="P72" i="24" s="1"/>
  <c r="D72" i="24" s="1"/>
  <c r="M71" i="28"/>
  <c r="L58" i="28"/>
  <c r="K59" i="24" s="1"/>
  <c r="P59" i="24" s="1"/>
  <c r="D59" i="24" s="1"/>
  <c r="M58" i="28"/>
  <c r="M57" i="28"/>
  <c r="L57" i="28"/>
  <c r="K58" i="24" s="1"/>
  <c r="P58" i="24" s="1"/>
  <c r="D58" i="24" s="1"/>
  <c r="L22" i="28"/>
  <c r="K23" i="24" s="1"/>
  <c r="P23" i="24" s="1"/>
  <c r="D23" i="24" s="1"/>
  <c r="M22" i="28"/>
  <c r="M61" i="28"/>
  <c r="L61" i="28"/>
  <c r="K62" i="24" s="1"/>
  <c r="P62" i="24" s="1"/>
  <c r="D62" i="24" s="1"/>
  <c r="L43" i="28"/>
  <c r="K44" i="24" s="1"/>
  <c r="P44" i="24" s="1"/>
  <c r="D44" i="24" s="1"/>
  <c r="M43" i="28"/>
  <c r="M53" i="28"/>
  <c r="L53" i="28"/>
  <c r="K54" i="24" s="1"/>
  <c r="P54" i="24" s="1"/>
  <c r="D54" i="24" s="1"/>
  <c r="L21" i="28"/>
  <c r="K22" i="24" s="1"/>
  <c r="P22" i="24" s="1"/>
  <c r="D22" i="24" s="1"/>
  <c r="M21" i="28"/>
  <c r="M20" i="28"/>
  <c r="L20" i="28"/>
  <c r="K21" i="24" s="1"/>
  <c r="P21" i="24" s="1"/>
  <c r="M24" i="28"/>
  <c r="L24" i="28"/>
  <c r="M44" i="28"/>
  <c r="L44" i="28"/>
  <c r="K45" i="24" s="1"/>
  <c r="P45" i="24" s="1"/>
  <c r="D45" i="24" s="1"/>
  <c r="M35" i="28"/>
  <c r="L35" i="28"/>
  <c r="K36" i="24" s="1"/>
  <c r="P36" i="24" s="1"/>
  <c r="D36" i="24" s="1"/>
  <c r="L51" i="28"/>
  <c r="K52" i="24" s="1"/>
  <c r="P52" i="24" s="1"/>
  <c r="D52" i="24" s="1"/>
  <c r="M51" i="28"/>
  <c r="M50" i="28"/>
  <c r="L50" i="28"/>
  <c r="K51" i="24" s="1"/>
  <c r="P51" i="24" s="1"/>
  <c r="D51" i="24" s="1"/>
  <c r="L66" i="28"/>
  <c r="K67" i="24" s="1"/>
  <c r="P67" i="24" s="1"/>
  <c r="D67" i="24" s="1"/>
  <c r="M66" i="28"/>
  <c r="M25" i="28"/>
  <c r="L25" i="28"/>
  <c r="K26" i="24" s="1"/>
  <c r="P26" i="24" s="1"/>
  <c r="D26" i="24" s="1"/>
  <c r="M27" i="28"/>
  <c r="L27" i="28"/>
  <c r="K28" i="24" s="1"/>
  <c r="P28" i="24" s="1"/>
  <c r="D28" i="24" s="1"/>
  <c r="M29" i="28"/>
  <c r="L29" i="28"/>
  <c r="K30" i="24" s="1"/>
  <c r="P30" i="24" s="1"/>
  <c r="D30" i="24" s="1"/>
  <c r="L67" i="28"/>
  <c r="K68" i="24" s="1"/>
  <c r="P68" i="24" s="1"/>
  <c r="D68" i="24" s="1"/>
  <c r="M67" i="28"/>
  <c r="M56" i="28"/>
  <c r="L56" i="28"/>
  <c r="K57" i="24" s="1"/>
  <c r="P57" i="24" s="1"/>
  <c r="D57" i="24" s="1"/>
  <c r="M41" i="28"/>
  <c r="L41" i="28"/>
  <c r="K42" i="24" s="1"/>
  <c r="P42" i="24" s="1"/>
  <c r="D42" i="24" s="1"/>
  <c r="M45" i="28"/>
  <c r="L45" i="28"/>
  <c r="K46" i="24" s="1"/>
  <c r="P46" i="24" s="1"/>
  <c r="D46" i="24" s="1"/>
  <c r="M33" i="28"/>
  <c r="L33" i="28"/>
  <c r="K34" i="24" s="1"/>
  <c r="P34" i="24" s="1"/>
  <c r="D34" i="24" s="1"/>
  <c r="M32" i="28"/>
  <c r="L32" i="28"/>
  <c r="K33" i="24" s="1"/>
  <c r="P33" i="24" s="1"/>
  <c r="D33" i="24" s="1"/>
  <c r="M48" i="28"/>
  <c r="L48" i="28"/>
  <c r="K49" i="24" s="1"/>
  <c r="P49" i="24" s="1"/>
  <c r="D49" i="24" s="1"/>
  <c r="M52" i="28"/>
  <c r="L52" i="28"/>
  <c r="K53" i="24" s="1"/>
  <c r="P53" i="24" s="1"/>
  <c r="D53" i="24" s="1"/>
  <c r="M36" i="28"/>
  <c r="L36" i="28"/>
  <c r="K37" i="24" s="1"/>
  <c r="P37" i="24" s="1"/>
  <c r="D37" i="24" s="1"/>
  <c r="L39" i="28"/>
  <c r="K40" i="24" s="1"/>
  <c r="P40" i="24" s="1"/>
  <c r="D40" i="24" s="1"/>
  <c r="M39" i="28"/>
  <c r="M49" i="28"/>
  <c r="L49" i="28"/>
  <c r="K50" i="24" s="1"/>
  <c r="P50" i="24" s="1"/>
  <c r="D50" i="24" s="1"/>
  <c r="M60" i="28"/>
  <c r="L60" i="28"/>
  <c r="K61" i="24" s="1"/>
  <c r="P61" i="24" s="1"/>
  <c r="D61" i="24" s="1"/>
  <c r="M31" i="28"/>
  <c r="L31" i="28"/>
  <c r="K32" i="24" s="1"/>
  <c r="P32" i="24" s="1"/>
  <c r="D32" i="24" s="1"/>
  <c r="M30" i="28"/>
  <c r="L30" i="28"/>
  <c r="K31" i="24" s="1"/>
  <c r="P31" i="24" s="1"/>
  <c r="D31" i="24" s="1"/>
  <c r="M70" i="28"/>
  <c r="L70" i="28"/>
  <c r="K71" i="24" s="1"/>
  <c r="P71" i="24" s="1"/>
  <c r="D71" i="24" s="1"/>
  <c r="M37" i="28"/>
  <c r="L37" i="28"/>
  <c r="K38" i="24" s="1"/>
  <c r="P38" i="24" s="1"/>
  <c r="D38" i="24" s="1"/>
  <c r="L54" i="28"/>
  <c r="K55" i="24" s="1"/>
  <c r="P55" i="24" s="1"/>
  <c r="D55" i="24" s="1"/>
  <c r="M54" i="28"/>
  <c r="L59" i="28"/>
  <c r="K60" i="24" s="1"/>
  <c r="P60" i="24" s="1"/>
  <c r="D60" i="24" s="1"/>
  <c r="M59" i="28"/>
  <c r="L42" i="28"/>
  <c r="K43" i="24" s="1"/>
  <c r="P43" i="24" s="1"/>
  <c r="D43" i="24" s="1"/>
  <c r="M42" i="28"/>
  <c r="M34" i="28"/>
  <c r="L34" i="28"/>
  <c r="K35" i="24" s="1"/>
  <c r="P35" i="24" s="1"/>
  <c r="D35" i="24" s="1"/>
  <c r="M28" i="28"/>
  <c r="L28" i="28"/>
  <c r="K29" i="24" s="1"/>
  <c r="P29" i="24" s="1"/>
  <c r="D29" i="24" s="1"/>
  <c r="M26" i="28"/>
  <c r="L26" i="28"/>
  <c r="K27" i="24" s="1"/>
  <c r="P27" i="24" s="1"/>
  <c r="D27" i="24" s="1"/>
  <c r="BA21" i="17" a="1"/>
  <c r="BA21" i="17" s="1"/>
  <c r="K25" i="24"/>
  <c r="P25" i="24" s="1"/>
  <c r="D25" i="24" s="1"/>
  <c r="BR24" i="16"/>
  <c r="DH64" i="1"/>
  <c r="DH75" i="1"/>
  <c r="BR23" i="16"/>
  <c r="BR21" i="16"/>
  <c r="BR22" i="16"/>
  <c r="DH65" i="1"/>
  <c r="BR26" i="16"/>
  <c r="DH63" i="1"/>
  <c r="BR25" i="16"/>
  <c r="DH69" i="1"/>
  <c r="BP19" i="16"/>
  <c r="BA19" i="1" a="1"/>
  <c r="BA19" i="1" s="1"/>
  <c r="BA18" i="1" s="1"/>
  <c r="BC41" i="1"/>
  <c r="BC38" i="1"/>
  <c r="BC60" i="1"/>
  <c r="DH72" i="1"/>
  <c r="BC33" i="1"/>
  <c r="DH74" i="1"/>
  <c r="BC52" i="1"/>
  <c r="BC62" i="1"/>
  <c r="BC68" i="1"/>
  <c r="BC36" i="1"/>
  <c r="BC23" i="1"/>
  <c r="BC27" i="1"/>
  <c r="BC28" i="1"/>
  <c r="BC24" i="1"/>
  <c r="BC25" i="1"/>
  <c r="BB19" i="1" a="1"/>
  <c r="BB19" i="1" s="1"/>
  <c r="BB18" i="1" s="1"/>
  <c r="AZ19" i="1"/>
  <c r="BC67" i="1"/>
  <c r="BG19" i="1"/>
  <c r="BH19" i="1"/>
  <c r="BC57" i="1"/>
  <c r="J29" i="19"/>
  <c r="J39" i="19" s="1"/>
  <c r="DH55" i="1"/>
  <c r="M19" i="28" l="1"/>
  <c r="CJ24" i="1"/>
  <c r="DH24" i="1" s="1"/>
  <c r="C25" i="24"/>
  <c r="CJ28" i="1"/>
  <c r="DH28" i="1" s="1"/>
  <c r="C29" i="24"/>
  <c r="CJ70" i="1"/>
  <c r="C71" i="24"/>
  <c r="CJ31" i="1"/>
  <c r="DH31" i="1" s="1"/>
  <c r="C32" i="24"/>
  <c r="C50" i="24"/>
  <c r="CJ49" i="1"/>
  <c r="DH49" i="1" s="1"/>
  <c r="CJ36" i="1"/>
  <c r="DH36" i="1" s="1"/>
  <c r="C37" i="24"/>
  <c r="C49" i="24"/>
  <c r="CJ48" i="1"/>
  <c r="DH48" i="1" s="1"/>
  <c r="CJ33" i="1"/>
  <c r="DH33" i="1" s="1"/>
  <c r="C34" i="24"/>
  <c r="C42" i="24"/>
  <c r="CJ41" i="1"/>
  <c r="DH41" i="1" s="1"/>
  <c r="CJ27" i="1"/>
  <c r="DH27" i="1" s="1"/>
  <c r="C28" i="24"/>
  <c r="C45" i="24"/>
  <c r="CJ44" i="1"/>
  <c r="DH44" i="1" s="1"/>
  <c r="D21" i="24"/>
  <c r="P20" i="24"/>
  <c r="D20" i="24" s="1"/>
  <c r="C54" i="24"/>
  <c r="CJ53" i="1"/>
  <c r="DH53" i="1" s="1"/>
  <c r="C62" i="24"/>
  <c r="CJ61" i="1"/>
  <c r="DH61" i="1" s="1"/>
  <c r="C58" i="24"/>
  <c r="CJ57" i="1"/>
  <c r="DH57" i="1" s="1"/>
  <c r="CJ23" i="1"/>
  <c r="DH23" i="1" s="1"/>
  <c r="C24" i="24"/>
  <c r="CJ62" i="1"/>
  <c r="DH62" i="1" s="1"/>
  <c r="C63" i="24"/>
  <c r="CJ42" i="1"/>
  <c r="DH42" i="1" s="1"/>
  <c r="C43" i="24"/>
  <c r="CJ54" i="1"/>
  <c r="DH54" i="1" s="1"/>
  <c r="C55" i="24"/>
  <c r="CJ67" i="1"/>
  <c r="DH67" i="1" s="1"/>
  <c r="C68" i="24"/>
  <c r="CJ66" i="1"/>
  <c r="DH66" i="1" s="1"/>
  <c r="C67" i="24"/>
  <c r="C52" i="24"/>
  <c r="CJ51" i="1"/>
  <c r="DH51" i="1" s="1"/>
  <c r="C72" i="24"/>
  <c r="CJ71" i="1"/>
  <c r="DH71" i="1" s="1"/>
  <c r="CJ26" i="1"/>
  <c r="DH26" i="1" s="1"/>
  <c r="C27" i="24"/>
  <c r="CJ34" i="1"/>
  <c r="DH34" i="1" s="1"/>
  <c r="C35" i="24"/>
  <c r="C38" i="24"/>
  <c r="CJ37" i="1"/>
  <c r="DH37" i="1" s="1"/>
  <c r="CJ30" i="1"/>
  <c r="DH30" i="1" s="1"/>
  <c r="C31" i="24"/>
  <c r="C61" i="24"/>
  <c r="CJ60" i="1"/>
  <c r="DH60" i="1" s="1"/>
  <c r="C53" i="24"/>
  <c r="CJ52" i="1"/>
  <c r="DH52" i="1" s="1"/>
  <c r="CJ32" i="1"/>
  <c r="DH32" i="1" s="1"/>
  <c r="C33" i="24"/>
  <c r="C46" i="24"/>
  <c r="CJ45" i="1"/>
  <c r="DH45" i="1" s="1"/>
  <c r="C57" i="24"/>
  <c r="CJ56" i="1"/>
  <c r="DH56" i="1" s="1"/>
  <c r="C30" i="24"/>
  <c r="CJ29" i="1"/>
  <c r="DH29" i="1" s="1"/>
  <c r="CJ25" i="1"/>
  <c r="DH25" i="1" s="1"/>
  <c r="C26" i="24"/>
  <c r="CJ50" i="1"/>
  <c r="DH50" i="1" s="1"/>
  <c r="C51" i="24"/>
  <c r="CJ35" i="1"/>
  <c r="C36" i="24"/>
  <c r="C69" i="24"/>
  <c r="CJ68" i="1"/>
  <c r="DH68" i="1" s="1"/>
  <c r="CJ59" i="1"/>
  <c r="DH59" i="1" s="1"/>
  <c r="C60" i="24"/>
  <c r="CJ39" i="1"/>
  <c r="C40" i="24"/>
  <c r="C22" i="24"/>
  <c r="CJ21" i="1"/>
  <c r="DH21" i="1" s="1"/>
  <c r="CJ43" i="1"/>
  <c r="DH43" i="1" s="1"/>
  <c r="C44" i="24"/>
  <c r="CJ22" i="1"/>
  <c r="DH22" i="1" s="1"/>
  <c r="C23" i="24"/>
  <c r="CJ58" i="1"/>
  <c r="DH58" i="1" s="1"/>
  <c r="C59" i="24"/>
  <c r="CJ38" i="1"/>
  <c r="DH38" i="1" s="1"/>
  <c r="C39" i="24"/>
  <c r="L19" i="28"/>
  <c r="K20" i="24" s="1"/>
  <c r="DH40" i="1"/>
  <c r="DH35" i="1"/>
  <c r="DH70" i="1"/>
  <c r="DH39" i="1"/>
  <c r="BR19" i="16"/>
  <c r="BR18" i="16" s="1"/>
  <c r="BR20" i="16"/>
  <c r="AZ16" i="1" a="1"/>
  <c r="AZ16" i="1" s="1"/>
  <c r="AZ16" i="17" s="1"/>
  <c r="AZ17" i="1"/>
  <c r="BD51" i="1" s="1" a="1"/>
  <c r="BD51" i="1" s="1"/>
  <c r="BH18" i="1"/>
  <c r="BG16" i="1"/>
  <c r="CJ19" i="1" l="1"/>
  <c r="C20" i="24"/>
  <c r="CJ20" i="1"/>
  <c r="DH20" i="1" s="1"/>
  <c r="C21" i="24"/>
  <c r="BG16" i="17"/>
  <c r="BD73" i="1" a="1"/>
  <c r="BD73" i="1" s="1"/>
  <c r="BD29" i="1" a="1"/>
  <c r="BD29" i="1" s="1"/>
  <c r="BD28" i="1" a="1"/>
  <c r="BD28" i="1" s="1"/>
  <c r="BD26" i="1" a="1"/>
  <c r="BD26" i="1" s="1"/>
  <c r="BD27" i="1" a="1"/>
  <c r="BD27" i="1" s="1"/>
  <c r="BD24" i="1" a="1"/>
  <c r="BD24" i="1" s="1"/>
  <c r="BD25" i="1" a="1"/>
  <c r="BD25" i="1" s="1"/>
  <c r="BD23" i="1" a="1"/>
  <c r="BD23" i="1" s="1"/>
  <c r="BD22" i="1" a="1"/>
  <c r="BD22" i="1" s="1"/>
  <c r="BD63" i="1" a="1"/>
  <c r="BD63" i="1" s="1"/>
  <c r="BD66" i="1" a="1"/>
  <c r="BD66" i="1" s="1"/>
  <c r="BD43" i="1" a="1"/>
  <c r="BD43" i="1" s="1"/>
  <c r="BD59" i="1" a="1"/>
  <c r="BD59" i="1" s="1"/>
  <c r="BD67" i="1" a="1"/>
  <c r="BD67" i="1" s="1"/>
  <c r="BD72" i="1" a="1"/>
  <c r="BD72" i="1" s="1"/>
  <c r="BD30" i="1" a="1"/>
  <c r="BD30" i="1" s="1"/>
  <c r="BD69" i="1" a="1"/>
  <c r="BD69" i="1" s="1"/>
  <c r="BD36" i="1" a="1"/>
  <c r="BD36" i="1" s="1"/>
  <c r="AZ17" i="17"/>
  <c r="BD77" i="1" a="1"/>
  <c r="BD77" i="1" s="1"/>
  <c r="BD48" i="1" a="1"/>
  <c r="BD48" i="1" s="1"/>
  <c r="BD50" i="1" a="1"/>
  <c r="BD50" i="1" s="1"/>
  <c r="BD19" i="1" a="1"/>
  <c r="BD19" i="1" s="1"/>
  <c r="BD61" i="1" a="1"/>
  <c r="BD61" i="1" s="1"/>
  <c r="BD70" i="1" a="1"/>
  <c r="BD70" i="1" s="1"/>
  <c r="BD65" i="1" a="1"/>
  <c r="BD65" i="1" s="1"/>
  <c r="BD49" i="1" a="1"/>
  <c r="BD49" i="1" s="1"/>
  <c r="BD33" i="1" a="1"/>
  <c r="BD33" i="1" s="1"/>
  <c r="BD55" i="1" a="1"/>
  <c r="BD55" i="1" s="1"/>
  <c r="BD41" i="1" a="1"/>
  <c r="BD41" i="1" s="1"/>
  <c r="BD75" i="1" a="1"/>
  <c r="BD75" i="1" s="1"/>
  <c r="BD47" i="1" a="1"/>
  <c r="BD47" i="1" s="1"/>
  <c r="BD20" i="1" a="1"/>
  <c r="BD20" i="1" s="1"/>
  <c r="BD31" i="1" a="1"/>
  <c r="BD31" i="1" s="1"/>
  <c r="BD68" i="1" a="1"/>
  <c r="BD68" i="1" s="1"/>
  <c r="BD42" i="1" a="1"/>
  <c r="BD42" i="1" s="1"/>
  <c r="BD74" i="1" a="1"/>
  <c r="BD74" i="1" s="1"/>
  <c r="BD56" i="1" a="1"/>
  <c r="BD56" i="1" s="1"/>
  <c r="BD21" i="1" a="1"/>
  <c r="BD21" i="1" s="1"/>
  <c r="BD45" i="1" a="1"/>
  <c r="BD45" i="1" s="1"/>
  <c r="BD64" i="1" a="1"/>
  <c r="BD64" i="1" s="1"/>
  <c r="BD62" i="1" a="1"/>
  <c r="BD62" i="1" s="1"/>
  <c r="BD39" i="1" a="1"/>
  <c r="BD39" i="1" s="1"/>
  <c r="BD44" i="1" a="1"/>
  <c r="BD44" i="1" s="1"/>
  <c r="BD53" i="1" a="1"/>
  <c r="BD53" i="1" s="1"/>
  <c r="BD54" i="1" a="1"/>
  <c r="BD54" i="1" s="1"/>
  <c r="BD37" i="1" a="1"/>
  <c r="BD37" i="1" s="1"/>
  <c r="BD60" i="1" a="1"/>
  <c r="BD60" i="1" s="1"/>
  <c r="BD32" i="1" a="1"/>
  <c r="BD32" i="1" s="1"/>
  <c r="BD71" i="1" a="1"/>
  <c r="BD71" i="1" s="1"/>
  <c r="BD58" i="1" a="1"/>
  <c r="BD58" i="1" s="1"/>
  <c r="BD35" i="1" a="1"/>
  <c r="BD35" i="1" s="1"/>
  <c r="BD40" i="1" a="1"/>
  <c r="BD40" i="1" s="1"/>
  <c r="BD46" i="1" a="1"/>
  <c r="BD46" i="1" s="1"/>
  <c r="BD52" i="1" a="1"/>
  <c r="BD52" i="1" s="1"/>
  <c r="BD38" i="1" a="1"/>
  <c r="BD38" i="1" s="1"/>
  <c r="BD34" i="1" a="1"/>
  <c r="BD34" i="1" s="1"/>
  <c r="BD57" i="1" a="1"/>
  <c r="BD57" i="1" s="1"/>
  <c r="BD76" i="1" a="1"/>
  <c r="BD76" i="1" s="1"/>
  <c r="BD78" i="1" a="1"/>
  <c r="BD78" i="1" s="1"/>
  <c r="CQ38" i="1" l="1" a="1"/>
  <c r="CQ38" i="1" s="1"/>
  <c r="CO38" i="1" a="1"/>
  <c r="CO38" i="1" s="1"/>
  <c r="CP38" i="1" a="1"/>
  <c r="CP38" i="1" s="1"/>
  <c r="CU38" i="1" a="1"/>
  <c r="CU38" i="1" s="1"/>
  <c r="CT38" i="1" a="1"/>
  <c r="CT38" i="1" s="1"/>
  <c r="CS38" i="1" a="1"/>
  <c r="CS38" i="1" s="1"/>
  <c r="CQ35" i="1" a="1"/>
  <c r="CQ35" i="1" s="1"/>
  <c r="CS35" i="1" a="1"/>
  <c r="CS35" i="1" s="1"/>
  <c r="CP35" i="1" a="1"/>
  <c r="CP35" i="1" s="1"/>
  <c r="DF35" i="1" s="1"/>
  <c r="CO35" i="1" a="1"/>
  <c r="CO35" i="1" s="1"/>
  <c r="CT35" i="1" a="1"/>
  <c r="CT35" i="1" s="1"/>
  <c r="CU35" i="1" a="1"/>
  <c r="CU35" i="1" s="1"/>
  <c r="CU60" i="1" a="1"/>
  <c r="CU60" i="1" s="1"/>
  <c r="CO60" i="1" a="1"/>
  <c r="CO60" i="1" s="1"/>
  <c r="CT60" i="1" a="1"/>
  <c r="CT60" i="1" s="1"/>
  <c r="CQ60" i="1" a="1"/>
  <c r="CQ60" i="1" s="1"/>
  <c r="CS60" i="1" a="1"/>
  <c r="CS60" i="1" s="1"/>
  <c r="CP60" i="1" a="1"/>
  <c r="CP60" i="1" s="1"/>
  <c r="CT44" i="1" a="1"/>
  <c r="CT44" i="1" s="1"/>
  <c r="CP44" i="1" a="1"/>
  <c r="CP44" i="1" s="1"/>
  <c r="DF44" i="1" s="1"/>
  <c r="CU44" i="1" a="1"/>
  <c r="CU44" i="1" s="1"/>
  <c r="CS44" i="1" a="1"/>
  <c r="CS44" i="1" s="1"/>
  <c r="CQ44" i="1" a="1"/>
  <c r="CQ44" i="1" s="1"/>
  <c r="CO44" i="1" a="1"/>
  <c r="CO44" i="1" s="1"/>
  <c r="CT45" i="1" a="1"/>
  <c r="CT45" i="1" s="1"/>
  <c r="DJ45" i="1" s="1"/>
  <c r="CS45" i="1" a="1"/>
  <c r="CS45" i="1" s="1"/>
  <c r="CP45" i="1" a="1"/>
  <c r="CP45" i="1" s="1"/>
  <c r="DF45" i="1" s="1"/>
  <c r="CU45" i="1" a="1"/>
  <c r="CU45" i="1" s="1"/>
  <c r="CQ45" i="1" a="1"/>
  <c r="CQ45" i="1" s="1"/>
  <c r="CO45" i="1" a="1"/>
  <c r="CO45" i="1" s="1"/>
  <c r="CP42" i="1" a="1"/>
  <c r="CP42" i="1" s="1"/>
  <c r="CQ42" i="1" a="1"/>
  <c r="CQ42" i="1" s="1"/>
  <c r="CO42" i="1" a="1"/>
  <c r="CO42" i="1" s="1"/>
  <c r="CS42" i="1" a="1"/>
  <c r="CS42" i="1" s="1"/>
  <c r="CU42" i="1" a="1"/>
  <c r="CU42" i="1" s="1"/>
  <c r="CT42" i="1" a="1"/>
  <c r="CT42" i="1" s="1"/>
  <c r="CU47" i="1" a="1"/>
  <c r="CU47" i="1" s="1"/>
  <c r="CQ47" i="1" a="1"/>
  <c r="CQ47" i="1" s="1"/>
  <c r="CP47" i="1" a="1"/>
  <c r="CP47" i="1" s="1"/>
  <c r="DF47" i="1" s="1"/>
  <c r="CO47" i="1" a="1"/>
  <c r="CO47" i="1" s="1"/>
  <c r="CT47" i="1" a="1"/>
  <c r="CT47" i="1" s="1"/>
  <c r="CS47" i="1" a="1"/>
  <c r="CS47" i="1" s="1"/>
  <c r="CO33" i="1" a="1"/>
  <c r="CO33" i="1" s="1"/>
  <c r="CS33" i="1" a="1"/>
  <c r="CS33" i="1" s="1"/>
  <c r="CT33" i="1" a="1"/>
  <c r="CT33" i="1" s="1"/>
  <c r="CU33" i="1" a="1"/>
  <c r="CU33" i="1" s="1"/>
  <c r="CP33" i="1" a="1"/>
  <c r="CP33" i="1" s="1"/>
  <c r="CQ33" i="1" a="1"/>
  <c r="CQ33" i="1" s="1"/>
  <c r="CQ61" i="1" a="1"/>
  <c r="CQ61" i="1" s="1"/>
  <c r="CO61" i="1" a="1"/>
  <c r="CO61" i="1" s="1"/>
  <c r="CS61" i="1" a="1"/>
  <c r="CS61" i="1" s="1"/>
  <c r="CT61" i="1" a="1"/>
  <c r="CT61" i="1" s="1"/>
  <c r="CU61" i="1" a="1"/>
  <c r="CU61" i="1" s="1"/>
  <c r="CP61" i="1" a="1"/>
  <c r="CP61" i="1" s="1"/>
  <c r="CT77" i="1" a="1"/>
  <c r="CT77" i="1" s="1"/>
  <c r="CO77" i="1" a="1"/>
  <c r="CO77" i="1" s="1"/>
  <c r="CS77" i="1" a="1"/>
  <c r="CS77" i="1" s="1"/>
  <c r="CP77" i="1" a="1"/>
  <c r="CP77" i="1" s="1"/>
  <c r="CU77" i="1" a="1"/>
  <c r="CU77" i="1" s="1"/>
  <c r="CQ77" i="1" a="1"/>
  <c r="CQ77" i="1" s="1"/>
  <c r="CQ69" i="1" a="1"/>
  <c r="CQ69" i="1" s="1"/>
  <c r="CT69" i="1" a="1"/>
  <c r="CT69" i="1" s="1"/>
  <c r="DJ69" i="1" s="1"/>
  <c r="CU69" i="1" a="1"/>
  <c r="CU69" i="1" s="1"/>
  <c r="CP69" i="1" a="1"/>
  <c r="CP69" i="1" s="1"/>
  <c r="CS69" i="1" a="1"/>
  <c r="CS69" i="1" s="1"/>
  <c r="CO69" i="1" a="1"/>
  <c r="CO69" i="1" s="1"/>
  <c r="CU59" i="1" a="1"/>
  <c r="CU59" i="1" s="1"/>
  <c r="CT59" i="1" a="1"/>
  <c r="CT59" i="1" s="1"/>
  <c r="DJ59" i="1" s="1"/>
  <c r="CQ59" i="1" a="1"/>
  <c r="CQ59" i="1" s="1"/>
  <c r="CP59" i="1" a="1"/>
  <c r="CP59" i="1" s="1"/>
  <c r="DF59" i="1" s="1"/>
  <c r="CO59" i="1" a="1"/>
  <c r="CO59" i="1" s="1"/>
  <c r="CS59" i="1" a="1"/>
  <c r="CS59" i="1" s="1"/>
  <c r="CO22" i="1" a="1"/>
  <c r="CO22" i="1" s="1"/>
  <c r="CP22" i="1" a="1"/>
  <c r="CP22" i="1" s="1"/>
  <c r="CT22" i="1" a="1"/>
  <c r="CT22" i="1" s="1"/>
  <c r="CS22" i="1" a="1"/>
  <c r="CS22" i="1" s="1"/>
  <c r="CQ22" i="1" a="1"/>
  <c r="CQ22" i="1" s="1"/>
  <c r="CU22" i="1" a="1"/>
  <c r="CU22" i="1" s="1"/>
  <c r="CQ27" i="1" a="1"/>
  <c r="CQ27" i="1" s="1"/>
  <c r="CS27" i="1" a="1"/>
  <c r="CS27" i="1" s="1"/>
  <c r="CU27" i="1" a="1"/>
  <c r="CU27" i="1" s="1"/>
  <c r="CP27" i="1" a="1"/>
  <c r="CP27" i="1" s="1"/>
  <c r="DF27" i="1" s="1"/>
  <c r="CO27" i="1" a="1"/>
  <c r="CO27" i="1" s="1"/>
  <c r="CT27" i="1" a="1"/>
  <c r="CT27" i="1" s="1"/>
  <c r="CQ73" i="1" a="1"/>
  <c r="CQ73" i="1" s="1"/>
  <c r="CO73" i="1" a="1"/>
  <c r="CO73" i="1" s="1"/>
  <c r="CU73" i="1" a="1"/>
  <c r="CU73" i="1" s="1"/>
  <c r="CP73" i="1" a="1"/>
  <c r="CP73" i="1" s="1"/>
  <c r="CS73" i="1" a="1"/>
  <c r="CS73" i="1" s="1"/>
  <c r="CT73" i="1" a="1"/>
  <c r="CT73" i="1" s="1"/>
  <c r="DJ73" i="1" s="1"/>
  <c r="CQ76" i="1" a="1"/>
  <c r="CQ76" i="1" s="1"/>
  <c r="CP76" i="1" a="1"/>
  <c r="CP76" i="1" s="1"/>
  <c r="DF76" i="1" s="1"/>
  <c r="E114" i="18" s="1"/>
  <c r="CS76" i="1" a="1"/>
  <c r="CS76" i="1" s="1"/>
  <c r="CU76" i="1" a="1"/>
  <c r="CU76" i="1" s="1"/>
  <c r="CO76" i="1" a="1"/>
  <c r="CO76" i="1" s="1"/>
  <c r="CT76" i="1" a="1"/>
  <c r="CT76" i="1" s="1"/>
  <c r="DJ76" i="1" s="1"/>
  <c r="CS52" i="1" a="1"/>
  <c r="CS52" i="1" s="1"/>
  <c r="CT52" i="1" a="1"/>
  <c r="CT52" i="1" s="1"/>
  <c r="CQ52" i="1" a="1"/>
  <c r="CQ52" i="1" s="1"/>
  <c r="CO52" i="1" a="1"/>
  <c r="CO52" i="1" s="1"/>
  <c r="CU52" i="1" a="1"/>
  <c r="CU52" i="1" s="1"/>
  <c r="CP52" i="1" a="1"/>
  <c r="CP52" i="1" s="1"/>
  <c r="DF52" i="1" s="1"/>
  <c r="CT58" i="1" a="1"/>
  <c r="CT58" i="1" s="1"/>
  <c r="CO58" i="1" a="1"/>
  <c r="CO58" i="1" s="1"/>
  <c r="CS58" i="1" a="1"/>
  <c r="CS58" i="1" s="1"/>
  <c r="CU58" i="1" a="1"/>
  <c r="CU58" i="1" s="1"/>
  <c r="CQ58" i="1" a="1"/>
  <c r="CQ58" i="1" s="1"/>
  <c r="CP58" i="1" a="1"/>
  <c r="CP58" i="1" s="1"/>
  <c r="DF58" i="1" s="1"/>
  <c r="CP37" i="1" a="1"/>
  <c r="CP37" i="1" s="1"/>
  <c r="CS37" i="1" a="1"/>
  <c r="CS37" i="1" s="1"/>
  <c r="CQ37" i="1" a="1"/>
  <c r="CQ37" i="1" s="1"/>
  <c r="CO37" i="1" a="1"/>
  <c r="CO37" i="1" s="1"/>
  <c r="CT37" i="1" a="1"/>
  <c r="CT37" i="1" s="1"/>
  <c r="CU37" i="1" a="1"/>
  <c r="CU37" i="1" s="1"/>
  <c r="CU39" i="1" a="1"/>
  <c r="CU39" i="1" s="1"/>
  <c r="CT39" i="1" a="1"/>
  <c r="CT39" i="1" s="1"/>
  <c r="CQ39" i="1" a="1"/>
  <c r="CQ39" i="1" s="1"/>
  <c r="CP39" i="1" a="1"/>
  <c r="CP39" i="1" s="1"/>
  <c r="DF39" i="1" s="1"/>
  <c r="CO39" i="1" a="1"/>
  <c r="CO39" i="1" s="1"/>
  <c r="CS39" i="1" a="1"/>
  <c r="CS39" i="1" s="1"/>
  <c r="CT21" i="1" a="1"/>
  <c r="CT21" i="1" s="1"/>
  <c r="CO21" i="1" a="1"/>
  <c r="CO21" i="1" s="1"/>
  <c r="CP21" i="1" a="1"/>
  <c r="CP21" i="1" s="1"/>
  <c r="DF21" i="1" s="1"/>
  <c r="CU21" i="1" a="1"/>
  <c r="CU21" i="1" s="1"/>
  <c r="CS21" i="1" a="1"/>
  <c r="CS21" i="1" s="1"/>
  <c r="CQ21" i="1" a="1"/>
  <c r="CQ21" i="1" s="1"/>
  <c r="CT68" i="1" a="1"/>
  <c r="CT68" i="1" s="1"/>
  <c r="CS68" i="1" a="1"/>
  <c r="CS68" i="1" s="1"/>
  <c r="CQ68" i="1" a="1"/>
  <c r="CQ68" i="1" s="1"/>
  <c r="CU68" i="1" a="1"/>
  <c r="CU68" i="1" s="1"/>
  <c r="CP68" i="1" a="1"/>
  <c r="CP68" i="1" s="1"/>
  <c r="CO68" i="1" a="1"/>
  <c r="CO68" i="1" s="1"/>
  <c r="CP75" i="1" a="1"/>
  <c r="CP75" i="1" s="1"/>
  <c r="CT75" i="1" a="1"/>
  <c r="CT75" i="1" s="1"/>
  <c r="CO75" i="1" a="1"/>
  <c r="CO75" i="1" s="1"/>
  <c r="CS75" i="1" a="1"/>
  <c r="CS75" i="1" s="1"/>
  <c r="CU75" i="1" a="1"/>
  <c r="CU75" i="1" s="1"/>
  <c r="CQ75" i="1" a="1"/>
  <c r="CQ75" i="1" s="1"/>
  <c r="CT49" i="1" a="1"/>
  <c r="CT49" i="1" s="1"/>
  <c r="CO49" i="1" a="1"/>
  <c r="CO49" i="1" s="1"/>
  <c r="CQ49" i="1" a="1"/>
  <c r="CQ49" i="1" s="1"/>
  <c r="CP49" i="1" a="1"/>
  <c r="CP49" i="1" s="1"/>
  <c r="DF49" i="1" s="1"/>
  <c r="CU49" i="1" a="1"/>
  <c r="CU49" i="1" s="1"/>
  <c r="CS49" i="1" a="1"/>
  <c r="CS49" i="1" s="1"/>
  <c r="CQ51" i="1" a="1"/>
  <c r="CQ51" i="1" s="1"/>
  <c r="CP51" i="1" a="1"/>
  <c r="CP51" i="1" s="1"/>
  <c r="DF51" i="1" s="1"/>
  <c r="CO51" i="1" a="1"/>
  <c r="CO51" i="1" s="1"/>
  <c r="CS51" i="1" a="1"/>
  <c r="CS51" i="1" s="1"/>
  <c r="CT51" i="1" a="1"/>
  <c r="CT51" i="1" s="1"/>
  <c r="DJ51" i="1" s="1"/>
  <c r="CU51" i="1" a="1"/>
  <c r="CU51" i="1" s="1"/>
  <c r="CT30" i="1" a="1"/>
  <c r="CT30" i="1" s="1"/>
  <c r="CS30" i="1" a="1"/>
  <c r="CS30" i="1" s="1"/>
  <c r="CO30" i="1" a="1"/>
  <c r="CO30" i="1" s="1"/>
  <c r="CQ30" i="1" a="1"/>
  <c r="CQ30" i="1" s="1"/>
  <c r="CU30" i="1" a="1"/>
  <c r="CU30" i="1" s="1"/>
  <c r="CP30" i="1" a="1"/>
  <c r="CP30" i="1" s="1"/>
  <c r="CU43" i="1" a="1"/>
  <c r="CU43" i="1" s="1"/>
  <c r="CQ43" i="1" a="1"/>
  <c r="CQ43" i="1" s="1"/>
  <c r="CT43" i="1" a="1"/>
  <c r="CT43" i="1" s="1"/>
  <c r="CS43" i="1" a="1"/>
  <c r="CS43" i="1" s="1"/>
  <c r="CO43" i="1" a="1"/>
  <c r="CO43" i="1" s="1"/>
  <c r="CP43" i="1" a="1"/>
  <c r="CP43" i="1" s="1"/>
  <c r="DF43" i="1" s="1"/>
  <c r="CO23" i="1" a="1"/>
  <c r="CO23" i="1" s="1"/>
  <c r="CP23" i="1" a="1"/>
  <c r="CP23" i="1" s="1"/>
  <c r="CT23" i="1" a="1"/>
  <c r="CT23" i="1" s="1"/>
  <c r="CS23" i="1" a="1"/>
  <c r="CS23" i="1" s="1"/>
  <c r="CU23" i="1" a="1"/>
  <c r="CU23" i="1" s="1"/>
  <c r="CQ23" i="1" a="1"/>
  <c r="CQ23" i="1" s="1"/>
  <c r="CT26" i="1" a="1"/>
  <c r="CT26" i="1" s="1"/>
  <c r="DJ26" i="1" s="1"/>
  <c r="CP26" i="1" a="1"/>
  <c r="CP26" i="1" s="1"/>
  <c r="DF26" i="1" s="1"/>
  <c r="CQ26" i="1" a="1"/>
  <c r="CQ26" i="1" s="1"/>
  <c r="CO26" i="1" a="1"/>
  <c r="CO26" i="1" s="1"/>
  <c r="CS26" i="1" a="1"/>
  <c r="CS26" i="1" s="1"/>
  <c r="CU26" i="1" a="1"/>
  <c r="CU26" i="1" s="1"/>
  <c r="CU57" i="1" a="1"/>
  <c r="CU57" i="1" s="1"/>
  <c r="CT57" i="1" a="1"/>
  <c r="CT57" i="1" s="1"/>
  <c r="CQ57" i="1" a="1"/>
  <c r="CQ57" i="1" s="1"/>
  <c r="CP57" i="1" a="1"/>
  <c r="CP57" i="1" s="1"/>
  <c r="DF57" i="1" s="1"/>
  <c r="CO57" i="1" a="1"/>
  <c r="CO57" i="1" s="1"/>
  <c r="CS57" i="1" a="1"/>
  <c r="CS57" i="1" s="1"/>
  <c r="CO46" i="1" a="1"/>
  <c r="CO46" i="1" s="1"/>
  <c r="CT46" i="1" a="1"/>
  <c r="CT46" i="1" s="1"/>
  <c r="CQ46" i="1" a="1"/>
  <c r="CQ46" i="1" s="1"/>
  <c r="CP46" i="1" a="1"/>
  <c r="CP46" i="1" s="1"/>
  <c r="DF46" i="1" s="1"/>
  <c r="E83" i="18" s="1"/>
  <c r="CS46" i="1" a="1"/>
  <c r="CS46" i="1" s="1"/>
  <c r="CU46" i="1" a="1"/>
  <c r="CU46" i="1" s="1"/>
  <c r="CS71" i="1" a="1"/>
  <c r="CS71" i="1" s="1"/>
  <c r="CT71" i="1" a="1"/>
  <c r="CT71" i="1" s="1"/>
  <c r="CQ71" i="1" a="1"/>
  <c r="CQ71" i="1" s="1"/>
  <c r="CP71" i="1" a="1"/>
  <c r="CP71" i="1" s="1"/>
  <c r="CO71" i="1" a="1"/>
  <c r="CO71" i="1" s="1"/>
  <c r="CU71" i="1" a="1"/>
  <c r="CU71" i="1" s="1"/>
  <c r="CP54" i="1" a="1"/>
  <c r="CP54" i="1" s="1"/>
  <c r="DF54" i="1" s="1"/>
  <c r="CS54" i="1" a="1"/>
  <c r="CS54" i="1" s="1"/>
  <c r="CO54" i="1" a="1"/>
  <c r="CO54" i="1" s="1"/>
  <c r="CU54" i="1" a="1"/>
  <c r="CU54" i="1" s="1"/>
  <c r="CT54" i="1" a="1"/>
  <c r="CT54" i="1" s="1"/>
  <c r="CQ54" i="1" a="1"/>
  <c r="CQ54" i="1" s="1"/>
  <c r="CT62" i="1" a="1"/>
  <c r="CT62" i="1" s="1"/>
  <c r="CS62" i="1" a="1"/>
  <c r="CS62" i="1" s="1"/>
  <c r="CP62" i="1" a="1"/>
  <c r="CP62" i="1" s="1"/>
  <c r="DF62" i="1" s="1"/>
  <c r="E100" i="18" s="1"/>
  <c r="CU62" i="1" a="1"/>
  <c r="CU62" i="1" s="1"/>
  <c r="CQ62" i="1" a="1"/>
  <c r="CQ62" i="1" s="1"/>
  <c r="CO62" i="1" a="1"/>
  <c r="CO62" i="1" s="1"/>
  <c r="CO56" i="1" a="1"/>
  <c r="CO56" i="1" s="1"/>
  <c r="CU56" i="1" a="1"/>
  <c r="CU56" i="1" s="1"/>
  <c r="CS56" i="1" a="1"/>
  <c r="CS56" i="1" s="1"/>
  <c r="CT56" i="1" a="1"/>
  <c r="CT56" i="1" s="1"/>
  <c r="CP56" i="1" a="1"/>
  <c r="CP56" i="1" s="1"/>
  <c r="CQ56" i="1" a="1"/>
  <c r="CQ56" i="1" s="1"/>
  <c r="CP31" i="1" a="1"/>
  <c r="CP31" i="1" s="1"/>
  <c r="CO31" i="1" a="1"/>
  <c r="CO31" i="1" s="1"/>
  <c r="CU31" i="1" a="1"/>
  <c r="CU31" i="1" s="1"/>
  <c r="CT31" i="1" a="1"/>
  <c r="CT31" i="1" s="1"/>
  <c r="CQ31" i="1" a="1"/>
  <c r="CQ31" i="1" s="1"/>
  <c r="CS31" i="1" a="1"/>
  <c r="CS31" i="1" s="1"/>
  <c r="CQ41" i="1" a="1"/>
  <c r="CQ41" i="1" s="1"/>
  <c r="CT41" i="1" a="1"/>
  <c r="CT41" i="1" s="1"/>
  <c r="CS41" i="1" a="1"/>
  <c r="CS41" i="1" s="1"/>
  <c r="CP41" i="1" a="1"/>
  <c r="CP41" i="1" s="1"/>
  <c r="DF41" i="1" s="1"/>
  <c r="CU41" i="1" a="1"/>
  <c r="CU41" i="1" s="1"/>
  <c r="CO41" i="1" a="1"/>
  <c r="CO41" i="1" s="1"/>
  <c r="CP65" i="1" a="1"/>
  <c r="CP65" i="1" s="1"/>
  <c r="DF65" i="1" s="1"/>
  <c r="CT65" i="1" a="1"/>
  <c r="CT65" i="1" s="1"/>
  <c r="CQ65" i="1" a="1"/>
  <c r="CQ65" i="1" s="1"/>
  <c r="CO65" i="1" a="1"/>
  <c r="CO65" i="1" s="1"/>
  <c r="CS65" i="1" a="1"/>
  <c r="CS65" i="1" s="1"/>
  <c r="CU65" i="1" a="1"/>
  <c r="CU65" i="1" s="1"/>
  <c r="CP50" i="1" a="1"/>
  <c r="CP50" i="1" s="1"/>
  <c r="DF50" i="1" s="1"/>
  <c r="CO50" i="1" a="1"/>
  <c r="CO50" i="1" s="1"/>
  <c r="CQ50" i="1" a="1"/>
  <c r="CQ50" i="1" s="1"/>
  <c r="CS50" i="1" a="1"/>
  <c r="CS50" i="1" s="1"/>
  <c r="CT50" i="1" a="1"/>
  <c r="CT50" i="1" s="1"/>
  <c r="CU50" i="1" a="1"/>
  <c r="CU50" i="1" s="1"/>
  <c r="CT72" i="1" a="1"/>
  <c r="CT72" i="1" s="1"/>
  <c r="DJ72" i="1" s="1"/>
  <c r="CO72" i="1" a="1"/>
  <c r="CO72" i="1" s="1"/>
  <c r="CP72" i="1" a="1"/>
  <c r="CP72" i="1" s="1"/>
  <c r="DF72" i="1" s="1"/>
  <c r="CQ72" i="1" a="1"/>
  <c r="CQ72" i="1" s="1"/>
  <c r="CU72" i="1" a="1"/>
  <c r="CU72" i="1" s="1"/>
  <c r="CS72" i="1" a="1"/>
  <c r="CS72" i="1" s="1"/>
  <c r="CT66" i="1" a="1"/>
  <c r="CT66" i="1" s="1"/>
  <c r="CO66" i="1" a="1"/>
  <c r="CO66" i="1" s="1"/>
  <c r="CP66" i="1" a="1"/>
  <c r="CP66" i="1" s="1"/>
  <c r="CQ66" i="1" a="1"/>
  <c r="CQ66" i="1" s="1"/>
  <c r="CU66" i="1" a="1"/>
  <c r="CU66" i="1" s="1"/>
  <c r="CS66" i="1" a="1"/>
  <c r="CS66" i="1" s="1"/>
  <c r="CU25" i="1" a="1"/>
  <c r="CU25" i="1" s="1"/>
  <c r="CO25" i="1" a="1"/>
  <c r="CO25" i="1" s="1"/>
  <c r="CT25" i="1" a="1"/>
  <c r="CT25" i="1" s="1"/>
  <c r="CQ25" i="1" a="1"/>
  <c r="CQ25" i="1" s="1"/>
  <c r="CS25" i="1" a="1"/>
  <c r="CS25" i="1" s="1"/>
  <c r="CP25" i="1" a="1"/>
  <c r="CP25" i="1" s="1"/>
  <c r="CO28" i="1" a="1"/>
  <c r="CO28" i="1" s="1"/>
  <c r="CQ28" i="1" a="1"/>
  <c r="CQ28" i="1" s="1"/>
  <c r="CS28" i="1" a="1"/>
  <c r="CS28" i="1" s="1"/>
  <c r="CT28" i="1" a="1"/>
  <c r="CT28" i="1" s="1"/>
  <c r="CU28" i="1" a="1"/>
  <c r="CU28" i="1" s="1"/>
  <c r="CP28" i="1" a="1"/>
  <c r="CP28" i="1" s="1"/>
  <c r="DF28" i="1" s="1"/>
  <c r="CO34" i="1" a="1"/>
  <c r="CO34" i="1" s="1"/>
  <c r="CP34" i="1" a="1"/>
  <c r="CP34" i="1" s="1"/>
  <c r="DF34" i="1" s="1"/>
  <c r="E72" i="18" s="1"/>
  <c r="CU34" i="1" a="1"/>
  <c r="CU34" i="1" s="1"/>
  <c r="CS34" i="1" a="1"/>
  <c r="CS34" i="1" s="1"/>
  <c r="CT34" i="1" a="1"/>
  <c r="CT34" i="1" s="1"/>
  <c r="CQ34" i="1" a="1"/>
  <c r="CQ34" i="1" s="1"/>
  <c r="CT40" i="1" a="1"/>
  <c r="CT40" i="1" s="1"/>
  <c r="CU40" i="1" a="1"/>
  <c r="CU40" i="1" s="1"/>
  <c r="CS40" i="1" a="1"/>
  <c r="CS40" i="1" s="1"/>
  <c r="CP40" i="1" a="1"/>
  <c r="CP40" i="1" s="1"/>
  <c r="CQ40" i="1" a="1"/>
  <c r="CQ40" i="1" s="1"/>
  <c r="CO40" i="1" a="1"/>
  <c r="CO40" i="1" s="1"/>
  <c r="CT32" i="1" a="1"/>
  <c r="CT32" i="1" s="1"/>
  <c r="CS32" i="1" a="1"/>
  <c r="CS32" i="1" s="1"/>
  <c r="CU32" i="1" a="1"/>
  <c r="CU32" i="1" s="1"/>
  <c r="CO32" i="1" a="1"/>
  <c r="CO32" i="1" s="1"/>
  <c r="CP32" i="1" a="1"/>
  <c r="CP32" i="1" s="1"/>
  <c r="CQ32" i="1" a="1"/>
  <c r="CQ32" i="1" s="1"/>
  <c r="CT53" i="1" a="1"/>
  <c r="CT53" i="1" s="1"/>
  <c r="CS53" i="1" a="1"/>
  <c r="CS53" i="1" s="1"/>
  <c r="CO53" i="1" a="1"/>
  <c r="CO53" i="1" s="1"/>
  <c r="CU53" i="1" a="1"/>
  <c r="CU53" i="1" s="1"/>
  <c r="CQ53" i="1" a="1"/>
  <c r="CQ53" i="1" s="1"/>
  <c r="CP53" i="1" a="1"/>
  <c r="CP53" i="1" s="1"/>
  <c r="CQ64" i="1" a="1"/>
  <c r="CQ64" i="1" s="1"/>
  <c r="CT64" i="1" a="1"/>
  <c r="CT64" i="1" s="1"/>
  <c r="CO64" i="1" a="1"/>
  <c r="CO64" i="1" s="1"/>
  <c r="CP64" i="1" a="1"/>
  <c r="CP64" i="1" s="1"/>
  <c r="CS64" i="1" a="1"/>
  <c r="CS64" i="1" s="1"/>
  <c r="CU64" i="1" a="1"/>
  <c r="CU64" i="1" s="1"/>
  <c r="CT74" i="1" a="1"/>
  <c r="CT74" i="1" s="1"/>
  <c r="CQ74" i="1" a="1"/>
  <c r="CQ74" i="1" s="1"/>
  <c r="CP74" i="1" a="1"/>
  <c r="CP74" i="1" s="1"/>
  <c r="DF74" i="1" s="1"/>
  <c r="CO74" i="1" a="1"/>
  <c r="CO74" i="1" s="1"/>
  <c r="CS74" i="1" a="1"/>
  <c r="CS74" i="1" s="1"/>
  <c r="CU74" i="1" a="1"/>
  <c r="CU74" i="1" s="1"/>
  <c r="CO20" i="1" a="1"/>
  <c r="CO20" i="1" s="1"/>
  <c r="CU20" i="1" a="1"/>
  <c r="CU20" i="1" s="1"/>
  <c r="CS20" i="1" a="1"/>
  <c r="CS20" i="1" s="1"/>
  <c r="CP20" i="1" a="1"/>
  <c r="CP20" i="1" s="1"/>
  <c r="CT20" i="1" a="1"/>
  <c r="CT20" i="1" s="1"/>
  <c r="CQ20" i="1" a="1"/>
  <c r="CQ20" i="1" s="1"/>
  <c r="CS55" i="1" a="1"/>
  <c r="CS55" i="1" s="1"/>
  <c r="CQ55" i="1" a="1"/>
  <c r="CQ55" i="1" s="1"/>
  <c r="CP55" i="1" a="1"/>
  <c r="CP55" i="1" s="1"/>
  <c r="CT55" i="1" a="1"/>
  <c r="CT55" i="1" s="1"/>
  <c r="CU55" i="1" a="1"/>
  <c r="CU55" i="1" s="1"/>
  <c r="CO55" i="1" a="1"/>
  <c r="CO55" i="1" s="1"/>
  <c r="CT70" i="1" a="1"/>
  <c r="CT70" i="1" s="1"/>
  <c r="CP70" i="1" a="1"/>
  <c r="CP70" i="1" s="1"/>
  <c r="CU70" i="1" a="1"/>
  <c r="CU70" i="1" s="1"/>
  <c r="CQ70" i="1" a="1"/>
  <c r="CQ70" i="1" s="1"/>
  <c r="CO70" i="1" a="1"/>
  <c r="CO70" i="1" s="1"/>
  <c r="CS70" i="1" a="1"/>
  <c r="CS70" i="1" s="1"/>
  <c r="CS48" i="1" a="1"/>
  <c r="CS48" i="1" s="1"/>
  <c r="CT48" i="1" a="1"/>
  <c r="CT48" i="1" s="1"/>
  <c r="CO48" i="1" a="1"/>
  <c r="CO48" i="1" s="1"/>
  <c r="CU48" i="1" a="1"/>
  <c r="CU48" i="1" s="1"/>
  <c r="CP48" i="1" a="1"/>
  <c r="CP48" i="1" s="1"/>
  <c r="CQ48" i="1" a="1"/>
  <c r="CQ48" i="1" s="1"/>
  <c r="CP36" i="1" a="1"/>
  <c r="CP36" i="1" s="1"/>
  <c r="CU36" i="1" a="1"/>
  <c r="CU36" i="1" s="1"/>
  <c r="CO36" i="1" a="1"/>
  <c r="CO36" i="1" s="1"/>
  <c r="CS36" i="1" a="1"/>
  <c r="CS36" i="1" s="1"/>
  <c r="CQ36" i="1" a="1"/>
  <c r="CQ36" i="1" s="1"/>
  <c r="CT36" i="1" a="1"/>
  <c r="CT36" i="1" s="1"/>
  <c r="CS67" i="1" a="1"/>
  <c r="CS67" i="1" s="1"/>
  <c r="CT67" i="1" a="1"/>
  <c r="CT67" i="1" s="1"/>
  <c r="CU67" i="1" a="1"/>
  <c r="CU67" i="1" s="1"/>
  <c r="CP67" i="1" a="1"/>
  <c r="CP67" i="1" s="1"/>
  <c r="DF67" i="1" s="1"/>
  <c r="CO67" i="1" a="1"/>
  <c r="CO67" i="1" s="1"/>
  <c r="CQ67" i="1" a="1"/>
  <c r="CQ67" i="1" s="1"/>
  <c r="CO63" i="1" a="1"/>
  <c r="CO63" i="1" s="1"/>
  <c r="CQ63" i="1" a="1"/>
  <c r="CQ63" i="1" s="1"/>
  <c r="CP63" i="1" a="1"/>
  <c r="CP63" i="1" s="1"/>
  <c r="DF63" i="1" s="1"/>
  <c r="CU63" i="1" a="1"/>
  <c r="CU63" i="1" s="1"/>
  <c r="CS63" i="1" a="1"/>
  <c r="CS63" i="1" s="1"/>
  <c r="CT63" i="1" a="1"/>
  <c r="CT63" i="1" s="1"/>
  <c r="CU24" i="1" a="1"/>
  <c r="CU24" i="1" s="1"/>
  <c r="CO24" i="1" a="1"/>
  <c r="CO24" i="1" s="1"/>
  <c r="CQ24" i="1" a="1"/>
  <c r="CQ24" i="1" s="1"/>
  <c r="CT24" i="1" a="1"/>
  <c r="CT24" i="1" s="1"/>
  <c r="CS24" i="1" a="1"/>
  <c r="CS24" i="1" s="1"/>
  <c r="CP24" i="1" a="1"/>
  <c r="CP24" i="1" s="1"/>
  <c r="DF24" i="1" s="1"/>
  <c r="CQ29" i="1" a="1"/>
  <c r="CQ29" i="1" s="1"/>
  <c r="CS29" i="1" a="1"/>
  <c r="CS29" i="1" s="1"/>
  <c r="CU29" i="1" a="1"/>
  <c r="CU29" i="1" s="1"/>
  <c r="CO29" i="1" a="1"/>
  <c r="CO29" i="1" s="1"/>
  <c r="CP29" i="1" a="1"/>
  <c r="CP29" i="1" s="1"/>
  <c r="DF29" i="1" s="1"/>
  <c r="CT29" i="1" a="1"/>
  <c r="CT29" i="1" s="1"/>
  <c r="E64" i="18"/>
  <c r="DB77" i="1"/>
  <c r="E96" i="18"/>
  <c r="DB59" i="1"/>
  <c r="DB69" i="1"/>
  <c r="CX60" i="1"/>
  <c r="CX59" i="1"/>
  <c r="DB58" i="1"/>
  <c r="E87" i="18"/>
  <c r="DG27" i="17"/>
  <c r="DG21" i="17"/>
  <c r="P21" i="19"/>
  <c r="P20" i="19"/>
  <c r="F25" i="19"/>
  <c r="F21" i="19"/>
  <c r="F22" i="19"/>
  <c r="F26" i="19"/>
  <c r="P26" i="19"/>
  <c r="DG26" i="17"/>
  <c r="P22" i="19"/>
  <c r="DG22" i="17"/>
  <c r="F20" i="19"/>
  <c r="P19" i="19"/>
  <c r="DB61" i="1" l="1"/>
  <c r="CX61" i="1"/>
  <c r="DB68" i="1"/>
  <c r="CX69" i="1"/>
  <c r="DB73" i="1"/>
  <c r="DB60" i="1"/>
  <c r="E66" i="18"/>
  <c r="CX68" i="1"/>
  <c r="W106" i="18" s="1"/>
  <c r="DB71" i="1"/>
  <c r="CX77" i="1"/>
  <c r="E65" i="18"/>
  <c r="DB70" i="1"/>
  <c r="DB65" i="1"/>
  <c r="CX66" i="1"/>
  <c r="DB72" i="1"/>
  <c r="DB75" i="1"/>
  <c r="CX58" i="1"/>
  <c r="W96" i="18" s="1"/>
  <c r="CX73" i="1"/>
  <c r="CX57" i="1"/>
  <c r="CX75" i="1"/>
  <c r="W113" i="18" s="1"/>
  <c r="DB57" i="1"/>
  <c r="CX71" i="1"/>
  <c r="CX55" i="1"/>
  <c r="W93" i="18" s="1"/>
  <c r="DB74" i="1"/>
  <c r="DB66" i="1"/>
  <c r="CX65" i="1"/>
  <c r="DF64" i="1"/>
  <c r="E102" i="18" s="1"/>
  <c r="CX72" i="1"/>
  <c r="CX56" i="1"/>
  <c r="CX63" i="1"/>
  <c r="DB63" i="1"/>
  <c r="CX67" i="1"/>
  <c r="DF70" i="1"/>
  <c r="E108" i="18" s="1"/>
  <c r="DB67" i="1"/>
  <c r="DF48" i="1"/>
  <c r="E86" i="18" s="1"/>
  <c r="DF53" i="1"/>
  <c r="E90" i="18" s="1"/>
  <c r="DF32" i="1"/>
  <c r="DF40" i="1"/>
  <c r="E77" i="18" s="1"/>
  <c r="DB34" i="1"/>
  <c r="DB28" i="1"/>
  <c r="DB25" i="1"/>
  <c r="DF66" i="1"/>
  <c r="E103" i="18" s="1"/>
  <c r="DB41" i="1"/>
  <c r="DF56" i="1"/>
  <c r="E94" i="18" s="1"/>
  <c r="DB46" i="1"/>
  <c r="DB26" i="1"/>
  <c r="DJ43" i="1"/>
  <c r="H81" i="18" s="1"/>
  <c r="DB21" i="1"/>
  <c r="DB37" i="1"/>
  <c r="DF73" i="1"/>
  <c r="E110" i="18" s="1"/>
  <c r="DF69" i="1"/>
  <c r="DB47" i="1"/>
  <c r="DB44" i="1"/>
  <c r="DB38" i="1"/>
  <c r="DB43" i="1"/>
  <c r="DB30" i="1"/>
  <c r="DB22" i="1"/>
  <c r="DF60" i="1"/>
  <c r="E97" i="18" s="1"/>
  <c r="DB35" i="1"/>
  <c r="DB36" i="1"/>
  <c r="DB20" i="1"/>
  <c r="DB53" i="1"/>
  <c r="CX74" i="1"/>
  <c r="W112" i="18" s="1"/>
  <c r="DB29" i="1"/>
  <c r="DF55" i="1"/>
  <c r="E92" i="18" s="1"/>
  <c r="DB50" i="1"/>
  <c r="DB31" i="1"/>
  <c r="DB51" i="1"/>
  <c r="DF68" i="1"/>
  <c r="E105" i="18" s="1"/>
  <c r="DB39" i="1"/>
  <c r="DB52" i="1"/>
  <c r="DB27" i="1"/>
  <c r="DB33" i="1"/>
  <c r="DJ42" i="1"/>
  <c r="DB42" i="1"/>
  <c r="DB45" i="1"/>
  <c r="CX64" i="1"/>
  <c r="DB64" i="1"/>
  <c r="CX70" i="1"/>
  <c r="E62" i="18"/>
  <c r="DB24" i="1"/>
  <c r="DB48" i="1"/>
  <c r="DB55" i="1"/>
  <c r="DB32" i="1"/>
  <c r="DB40" i="1"/>
  <c r="DB56" i="1"/>
  <c r="DB54" i="1"/>
  <c r="DB23" i="1"/>
  <c r="DB49" i="1"/>
  <c r="DF75" i="1"/>
  <c r="E112" i="18" s="1"/>
  <c r="DF61" i="1"/>
  <c r="E98" i="18" s="1"/>
  <c r="DF33" i="1"/>
  <c r="DF42" i="1"/>
  <c r="CX26" i="1"/>
  <c r="CX51" i="1"/>
  <c r="CX53" i="1"/>
  <c r="CX52" i="1"/>
  <c r="CX27" i="1"/>
  <c r="CX42" i="1"/>
  <c r="CX45" i="1"/>
  <c r="CX50" i="1"/>
  <c r="CX23" i="1"/>
  <c r="CX49" i="1"/>
  <c r="CX37" i="1"/>
  <c r="CX47" i="1"/>
  <c r="CX35" i="1"/>
  <c r="CX29" i="1"/>
  <c r="CX48" i="1"/>
  <c r="CX41" i="1"/>
  <c r="CX46" i="1"/>
  <c r="CX21" i="1"/>
  <c r="CX39" i="1"/>
  <c r="CX33" i="1"/>
  <c r="CX44" i="1"/>
  <c r="CX38" i="1"/>
  <c r="CX24" i="1"/>
  <c r="CX36" i="1"/>
  <c r="CX32" i="1"/>
  <c r="CX34" i="1"/>
  <c r="CX28" i="1"/>
  <c r="CX43" i="1"/>
  <c r="CX30" i="1"/>
  <c r="CX22" i="1"/>
  <c r="CX20" i="1"/>
  <c r="CX40" i="1"/>
  <c r="CX25" i="1"/>
  <c r="CX31" i="1"/>
  <c r="E85" i="18"/>
  <c r="E82" i="18"/>
  <c r="E81" i="18"/>
  <c r="E89" i="18"/>
  <c r="E88" i="18"/>
  <c r="H64" i="18"/>
  <c r="CX62" i="1"/>
  <c r="DB62" i="1"/>
  <c r="CX54" i="1"/>
  <c r="DB76" i="1"/>
  <c r="E95" i="18"/>
  <c r="CX76" i="1"/>
  <c r="H114" i="18"/>
  <c r="E101" i="18"/>
  <c r="E84" i="18"/>
  <c r="F27" i="19"/>
  <c r="H110" i="18"/>
  <c r="W98" i="18"/>
  <c r="W97" i="18"/>
  <c r="P27" i="19"/>
  <c r="P25" i="19"/>
  <c r="DG25" i="17"/>
  <c r="F28" i="18"/>
  <c r="F34" i="18"/>
  <c r="F23" i="19"/>
  <c r="DG23" i="17"/>
  <c r="F29" i="18" s="1"/>
  <c r="P23" i="19"/>
  <c r="F24" i="19"/>
  <c r="P24" i="19"/>
  <c r="DG24" i="17"/>
  <c r="F33" i="18"/>
  <c r="W107" i="18" l="1"/>
  <c r="W99" i="18"/>
  <c r="W109" i="18"/>
  <c r="W80" i="18"/>
  <c r="E91" i="18"/>
  <c r="W104" i="18"/>
  <c r="W102" i="18"/>
  <c r="W95" i="18"/>
  <c r="W76" i="18"/>
  <c r="W85" i="18"/>
  <c r="W90" i="18"/>
  <c r="E78" i="18"/>
  <c r="E99" i="18"/>
  <c r="E79" i="18"/>
  <c r="E80" i="18"/>
  <c r="E113" i="18"/>
  <c r="E93" i="18"/>
  <c r="E106" i="18"/>
  <c r="E104" i="18"/>
  <c r="E70" i="18"/>
  <c r="E71" i="18"/>
  <c r="H80" i="18"/>
  <c r="E107" i="18"/>
  <c r="E111" i="18"/>
  <c r="W100" i="18"/>
  <c r="W75" i="18"/>
  <c r="W84" i="18"/>
  <c r="W105" i="18"/>
  <c r="W77" i="18"/>
  <c r="W87" i="18"/>
  <c r="W88" i="18"/>
  <c r="W103" i="18"/>
  <c r="W86" i="18"/>
  <c r="W79" i="18"/>
  <c r="W111" i="18"/>
  <c r="W108" i="18"/>
  <c r="W94" i="18"/>
  <c r="W110" i="18"/>
  <c r="W101" i="18"/>
  <c r="W81" i="18"/>
  <c r="W78" i="18"/>
  <c r="W91" i="18"/>
  <c r="W82" i="18"/>
  <c r="W92" i="18"/>
  <c r="W83" i="18"/>
  <c r="W89" i="18"/>
  <c r="F32" i="18"/>
  <c r="F30" i="18"/>
  <c r="F31" i="18"/>
  <c r="F112" i="18" l="1"/>
  <c r="F58" i="18"/>
  <c r="F77" i="18" l="1"/>
  <c r="F76" i="18"/>
  <c r="F98" i="18"/>
  <c r="F114" i="18"/>
  <c r="F113" i="18"/>
  <c r="F86" i="18"/>
  <c r="F92" i="18"/>
  <c r="F82" i="18"/>
  <c r="W64" i="18"/>
  <c r="F61" i="18"/>
  <c r="W73" i="18"/>
  <c r="W74" i="18"/>
  <c r="W61" i="18"/>
  <c r="F107" i="18"/>
  <c r="W59" i="18"/>
  <c r="W72" i="18"/>
  <c r="F59" i="18"/>
  <c r="F109" i="18"/>
  <c r="F70" i="18"/>
  <c r="F85" i="18"/>
  <c r="F101" i="18"/>
  <c r="F87" i="18"/>
  <c r="F96" i="18"/>
  <c r="F104" i="18"/>
  <c r="W65" i="18"/>
  <c r="F106" i="18"/>
  <c r="F81" i="18"/>
  <c r="F94" i="18"/>
  <c r="F79" i="18"/>
  <c r="F90" i="18"/>
  <c r="F83" i="18"/>
  <c r="W67" i="18"/>
  <c r="F75" i="18"/>
  <c r="F103" i="18"/>
  <c r="F91" i="18"/>
  <c r="F80" i="18"/>
  <c r="F89" i="18"/>
  <c r="F108" i="18"/>
  <c r="F111" i="18"/>
  <c r="F84" i="18"/>
  <c r="F110" i="18"/>
  <c r="F97" i="18"/>
  <c r="F78" i="18"/>
  <c r="F88" i="18"/>
  <c r="F100" i="18"/>
  <c r="F105" i="18"/>
  <c r="F95" i="18"/>
  <c r="F99" i="18"/>
  <c r="F102" i="18"/>
  <c r="F93" i="18"/>
  <c r="F73" i="18" l="1"/>
  <c r="W69" i="18"/>
  <c r="W58" i="18"/>
  <c r="F65" i="18"/>
  <c r="F67" i="18"/>
  <c r="F63" i="18"/>
  <c r="W60" i="18"/>
  <c r="W62" i="18"/>
  <c r="F69" i="18"/>
  <c r="W71" i="18"/>
  <c r="W68" i="18"/>
  <c r="F72" i="18"/>
  <c r="F66" i="18"/>
  <c r="F71" i="18"/>
  <c r="F68" i="18"/>
  <c r="F60" i="18"/>
  <c r="F74" i="18"/>
  <c r="W70" i="18"/>
  <c r="F64" i="18"/>
  <c r="W66" i="18"/>
  <c r="W63" i="18"/>
  <c r="F62" i="18"/>
  <c r="BW19" i="1" l="1"/>
  <c r="BX19" i="1" l="1"/>
  <c r="BX18" i="1" l="1"/>
  <c r="C9" i="11"/>
  <c r="BU18" i="1" l="1"/>
  <c r="E19" i="28" l="1"/>
  <c r="D19" i="28" s="1"/>
  <c r="DH19" i="1" l="1"/>
  <c r="F117" i="18" l="1"/>
  <c r="AN18" i="17" l="1"/>
  <c r="D20" i="1"/>
  <c r="B20" i="48" l="1"/>
  <c r="BO23" i="17" a="1"/>
  <c r="BO23" i="17" s="1"/>
  <c r="X27" i="17"/>
  <c r="AJ23" i="17"/>
  <c r="AJ24" i="17"/>
  <c r="X22" i="17"/>
  <c r="B20" i="45"/>
  <c r="J24" i="17"/>
  <c r="BS24" i="17" a="1"/>
  <c r="BS24" i="17" s="1"/>
  <c r="AD25" i="17"/>
  <c r="X24" i="17"/>
  <c r="BJ26" i="17" a="1"/>
  <c r="BJ26" i="17" s="1"/>
  <c r="AG26" i="17"/>
  <c r="BS23" i="17" a="1"/>
  <c r="BS23" i="17" s="1"/>
  <c r="AA26" i="17"/>
  <c r="BL27" i="17" a="1"/>
  <c r="BL27" i="17" s="1"/>
  <c r="BK27" i="17" a="1"/>
  <c r="BK27" i="17" s="1"/>
  <c r="BR27" i="17" a="1"/>
  <c r="BR27" i="17" s="1"/>
  <c r="BY23" i="17" a="1"/>
  <c r="BY23" i="17" s="1"/>
  <c r="BY22" i="17" a="1"/>
  <c r="BY22" i="17" s="1"/>
  <c r="BY26" i="17" a="1"/>
  <c r="BY26" i="17" s="1"/>
  <c r="B20" i="30"/>
  <c r="BV23" i="17" a="1"/>
  <c r="BV23" i="17" s="1"/>
  <c r="B20" i="15"/>
  <c r="BV26" i="17" a="1"/>
  <c r="BV26" i="17" s="1"/>
  <c r="B20" i="29"/>
  <c r="BL21" i="17" a="1"/>
  <c r="BL21" i="17" s="1"/>
  <c r="BV27" i="17" a="1"/>
  <c r="BV27" i="17" s="1"/>
  <c r="BR22" i="17" a="1"/>
  <c r="BR22" i="17" s="1"/>
  <c r="BY24" i="17" a="1"/>
  <c r="BY24" i="17" s="1"/>
  <c r="BL22" i="17" a="1"/>
  <c r="BL22" i="17" s="1"/>
  <c r="BY27" i="17" a="1"/>
  <c r="BY27" i="17" s="1"/>
  <c r="BR23" i="17" a="1"/>
  <c r="BR23" i="17" s="1"/>
  <c r="BR25" i="17" a="1"/>
  <c r="BR25" i="17" s="1"/>
  <c r="P26" i="17"/>
  <c r="BL23" i="17" a="1"/>
  <c r="BL23" i="17" s="1"/>
  <c r="BR24" i="17" a="1"/>
  <c r="BR24" i="17" s="1"/>
  <c r="BR26" i="17" a="1"/>
  <c r="BR26" i="17" s="1"/>
  <c r="BR21" i="17" a="1"/>
  <c r="BR21" i="17" s="1"/>
  <c r="BY25" i="17" a="1"/>
  <c r="BY25" i="17" s="1"/>
  <c r="BV21" i="17" a="1"/>
  <c r="BV21" i="17" s="1"/>
  <c r="B20" i="13"/>
  <c r="BL26" i="17" a="1"/>
  <c r="BL26" i="17" s="1"/>
  <c r="BV22" i="17" a="1"/>
  <c r="BV22" i="17" s="1"/>
  <c r="BV25" i="17" a="1"/>
  <c r="BV25" i="17" s="1"/>
  <c r="BY21" i="17" a="1"/>
  <c r="BY21" i="17" s="1"/>
  <c r="BV24" i="17" a="1"/>
  <c r="BV24" i="17" s="1"/>
  <c r="BL24" i="17" a="1"/>
  <c r="BL24" i="17" s="1"/>
  <c r="BL25" i="17" a="1"/>
  <c r="BL25" i="17" s="1"/>
  <c r="B20" i="32"/>
  <c r="BF23" i="17" a="1"/>
  <c r="BF23" i="17" s="1"/>
  <c r="C24" i="16" a="1"/>
  <c r="C24" i="16" s="1"/>
  <c r="C22" i="16" a="1"/>
  <c r="C22" i="16" s="1"/>
  <c r="C23" i="16" a="1"/>
  <c r="C23" i="16" s="1"/>
  <c r="BF27" i="17" a="1"/>
  <c r="BF27" i="17" s="1"/>
  <c r="C26" i="16" a="1"/>
  <c r="C26" i="16" s="1"/>
  <c r="C21" i="16" a="1"/>
  <c r="C21" i="16" s="1"/>
  <c r="BF25" i="17" a="1"/>
  <c r="BF25" i="17" s="1"/>
  <c r="BF24" i="17" a="1"/>
  <c r="BF24" i="17" s="1"/>
  <c r="BW21" i="17" a="1"/>
  <c r="BW21" i="17" s="1"/>
  <c r="BF21" i="17" a="1"/>
  <c r="BF21" i="17" s="1"/>
  <c r="BF22" i="17" a="1"/>
  <c r="BF22" i="17" s="1"/>
  <c r="J27" i="17"/>
  <c r="P21" i="17"/>
  <c r="BO22" i="17" a="1"/>
  <c r="BO22" i="17" s="1"/>
  <c r="J23" i="17"/>
  <c r="C26" i="17" a="1"/>
  <c r="C26" i="17" s="1"/>
  <c r="BN26" i="17" s="1"/>
  <c r="U25" i="17"/>
  <c r="BZ26" i="17" a="1"/>
  <c r="BZ26" i="17" s="1"/>
  <c r="CA26" i="17" s="1"/>
  <c r="AJ27" i="17"/>
  <c r="C25" i="16" a="1"/>
  <c r="C25" i="16" s="1"/>
  <c r="C25" i="17" a="1"/>
  <c r="C25" i="17" s="1"/>
  <c r="BN25" i="17" s="1"/>
  <c r="BJ27" i="17" a="1"/>
  <c r="BJ27" i="17" s="1"/>
  <c r="BF26" i="17" a="1"/>
  <c r="BF26" i="17" s="1"/>
  <c r="U26" i="17"/>
  <c r="AQ24" i="17"/>
  <c r="BW25" i="17" a="1"/>
  <c r="BW25" i="17" s="1"/>
  <c r="AD24" i="17"/>
  <c r="BZ24" i="17" a="1"/>
  <c r="BZ24" i="17" s="1"/>
  <c r="P23" i="17"/>
  <c r="BZ21" i="17" a="1"/>
  <c r="BZ21" i="17" s="1"/>
  <c r="U24" i="17"/>
  <c r="U22" i="17"/>
  <c r="AD27" i="17"/>
  <c r="AD23" i="17"/>
  <c r="AA27" i="17"/>
  <c r="AD21" i="17"/>
  <c r="AG25" i="17"/>
  <c r="AD26" i="17"/>
  <c r="J21" i="17"/>
  <c r="BO24" i="17" a="1"/>
  <c r="BO24" i="17" s="1"/>
  <c r="J25" i="17"/>
  <c r="BE26" i="17" a="1"/>
  <c r="BE26" i="17" s="1"/>
  <c r="BG26" i="17" s="1"/>
  <c r="AD22" i="17"/>
  <c r="BW27" i="17" a="1"/>
  <c r="BW27" i="17" s="1"/>
  <c r="BX27" i="17" s="1"/>
  <c r="C23" i="17" a="1"/>
  <c r="C23" i="17" s="1"/>
  <c r="C21" i="17" a="1"/>
  <c r="C21" i="17" s="1"/>
  <c r="BN21" i="17" s="1"/>
  <c r="BJ25" i="17" a="1"/>
  <c r="BJ25" i="17" s="1"/>
  <c r="BZ25" i="17" a="1"/>
  <c r="BZ25" i="17" s="1"/>
  <c r="C27" i="17" a="1"/>
  <c r="C27" i="17" s="1"/>
  <c r="BN27" i="17" s="1"/>
  <c r="AJ26" i="17"/>
  <c r="AJ21" i="17"/>
  <c r="BO25" i="17" a="1"/>
  <c r="BO25" i="17" s="1"/>
  <c r="X23" i="17"/>
  <c r="BJ23" i="17" a="1"/>
  <c r="BJ23" i="17" s="1"/>
  <c r="BJ21" i="17" a="1"/>
  <c r="BJ21" i="17" s="1"/>
  <c r="C22" i="17" a="1"/>
  <c r="C22" i="17" s="1"/>
  <c r="BN22" i="17" s="1"/>
  <c r="BO27" i="17" a="1"/>
  <c r="BO27" i="17" s="1"/>
  <c r="DM20" i="1"/>
  <c r="T117" i="18" s="1"/>
  <c r="BW23" i="17" a="1"/>
  <c r="BW23" i="17" s="1"/>
  <c r="BX23" i="17" s="1"/>
  <c r="BW22" i="17" a="1"/>
  <c r="BW22" i="17" s="1"/>
  <c r="BX22" i="17" s="1"/>
  <c r="BW24" i="17" a="1"/>
  <c r="BW24" i="17" s="1"/>
  <c r="BZ23" i="17" a="1"/>
  <c r="BZ23" i="17" s="1"/>
  <c r="BS25" i="17" a="1"/>
  <c r="BS25" i="17" s="1"/>
  <c r="BZ22" i="17" a="1"/>
  <c r="BZ22" i="17" s="1"/>
  <c r="B20" i="49"/>
  <c r="M20" i="49" s="1"/>
  <c r="B20" i="28"/>
  <c r="P25" i="17"/>
  <c r="J26" i="17"/>
  <c r="AA23" i="17"/>
  <c r="X25" i="17"/>
  <c r="X21" i="17"/>
  <c r="BO26" i="17" a="1"/>
  <c r="BO26" i="17" s="1"/>
  <c r="BS27" i="17" a="1"/>
  <c r="BS27" i="17" s="1"/>
  <c r="BT27" i="17" s="1"/>
  <c r="BU27" i="17" s="1"/>
  <c r="C20" i="16" a="1"/>
  <c r="C20" i="16" s="1"/>
  <c r="AG27" i="17"/>
  <c r="BS21" i="17" a="1"/>
  <c r="BS21" i="17" s="1"/>
  <c r="BT21" i="17" s="1" a="1"/>
  <c r="BT21" i="17" s="1"/>
  <c r="BE27" i="17" a="1"/>
  <c r="BE27" i="17" s="1"/>
  <c r="C24" i="17" a="1"/>
  <c r="C24" i="17" s="1"/>
  <c r="BN24" i="17" s="1"/>
  <c r="AJ22" i="17"/>
  <c r="B21" i="24"/>
  <c r="P27" i="17"/>
  <c r="AQ23" i="17"/>
  <c r="BW26" i="17" a="1"/>
  <c r="BW26" i="17" s="1"/>
  <c r="BX26" i="17" s="1"/>
  <c r="BJ22" i="17" a="1"/>
  <c r="BJ22" i="17" s="1"/>
  <c r="BS22" i="17" a="1"/>
  <c r="BS22" i="17" s="1"/>
  <c r="BS26" i="17" a="1"/>
  <c r="BS26" i="17" s="1"/>
  <c r="BT26" i="17" s="1"/>
  <c r="BU26" i="17" s="1"/>
  <c r="J22" i="17"/>
  <c r="X26" i="17"/>
  <c r="AG21" i="17"/>
  <c r="AQ22" i="17"/>
  <c r="C27" i="16" a="1"/>
  <c r="C27" i="16" s="1"/>
  <c r="M24" i="17"/>
  <c r="BJ24" i="17" a="1"/>
  <c r="BJ24" i="17" s="1"/>
  <c r="BZ27" i="17" a="1"/>
  <c r="BZ27" i="17" s="1"/>
  <c r="BO21" i="17" a="1"/>
  <c r="BO21" i="17" s="1"/>
  <c r="Q20" i="48" l="1"/>
  <c r="Q22" i="48"/>
  <c r="Q21" i="48"/>
  <c r="Q23" i="48"/>
  <c r="Q25" i="48"/>
  <c r="BQ21" i="17" a="1"/>
  <c r="BQ21" i="17" s="1"/>
  <c r="BN23" i="17"/>
  <c r="BP23" i="17" s="1"/>
  <c r="BG23" i="17" a="1"/>
  <c r="BG23" i="17" s="1"/>
  <c r="CA27" i="17"/>
  <c r="BY21" i="16" a="1"/>
  <c r="BY21" i="16" s="1"/>
  <c r="BY24" i="16" a="1"/>
  <c r="BY24" i="16" s="1"/>
  <c r="BY27" i="16" a="1"/>
  <c r="BY27" i="16" s="1"/>
  <c r="BZ25" i="16" a="1"/>
  <c r="BZ25" i="16" s="1"/>
  <c r="BY22" i="16" a="1"/>
  <c r="BY22" i="16" s="1"/>
  <c r="BY20" i="16" a="1"/>
  <c r="BY20" i="16" s="1"/>
  <c r="BZ23" i="16" a="1"/>
  <c r="BZ23" i="16" s="1"/>
  <c r="BZ26" i="16" a="1"/>
  <c r="BZ26" i="16" s="1"/>
  <c r="BY25" i="16" a="1"/>
  <c r="BY25" i="16" s="1"/>
  <c r="BZ21" i="16" a="1"/>
  <c r="BZ21" i="16" s="1"/>
  <c r="CA21" i="16" s="1"/>
  <c r="BZ24" i="16" a="1"/>
  <c r="BZ24" i="16" s="1"/>
  <c r="BZ27" i="16" a="1"/>
  <c r="BZ27" i="16" s="1"/>
  <c r="BY23" i="16" a="1"/>
  <c r="BY23" i="16" s="1"/>
  <c r="BY26" i="16" a="1"/>
  <c r="BY26" i="16" s="1"/>
  <c r="BZ22" i="16" a="1"/>
  <c r="BZ22" i="16" s="1"/>
  <c r="BZ20" i="16" a="1"/>
  <c r="BZ20" i="16" s="1"/>
  <c r="BM21" i="17"/>
  <c r="CA22" i="17"/>
  <c r="CA24" i="17"/>
  <c r="L90" i="32" a="1"/>
  <c r="L90" i="32" s="1"/>
  <c r="S90" i="32" a="1"/>
  <c r="S90" i="32" s="1"/>
  <c r="W90" i="32" a="1"/>
  <c r="W90" i="32" s="1"/>
  <c r="G90" i="32" a="1"/>
  <c r="G90" i="32" s="1"/>
  <c r="Q90" i="32" a="1"/>
  <c r="Q90" i="32" s="1"/>
  <c r="F90" i="32" a="1"/>
  <c r="F90" i="32" s="1"/>
  <c r="O90" i="32" a="1"/>
  <c r="O90" i="32" s="1"/>
  <c r="T90" i="32" a="1"/>
  <c r="T90" i="32" s="1"/>
  <c r="D90" i="32" a="1"/>
  <c r="D90" i="32" s="1"/>
  <c r="V90" i="32" a="1"/>
  <c r="V90" i="32" s="1"/>
  <c r="I90" i="32" a="1"/>
  <c r="I90" i="32" s="1"/>
  <c r="P90" i="32" a="1"/>
  <c r="P90" i="32" s="1"/>
  <c r="E90" i="32" a="1"/>
  <c r="E90" i="32" s="1"/>
  <c r="K90" i="32" a="1"/>
  <c r="K90" i="32" s="1"/>
  <c r="J90" i="32" a="1"/>
  <c r="J90" i="32" s="1"/>
  <c r="N90" i="32" a="1"/>
  <c r="N90" i="32" s="1"/>
  <c r="O89" i="32" a="1"/>
  <c r="O89" i="32" s="1"/>
  <c r="I89" i="32" a="1"/>
  <c r="I89" i="32" s="1"/>
  <c r="J89" i="32" a="1"/>
  <c r="J89" i="32" s="1"/>
  <c r="P89" i="32" a="1"/>
  <c r="P89" i="32" s="1"/>
  <c r="J86" i="32" a="1"/>
  <c r="J86" i="32" s="1"/>
  <c r="E86" i="32" a="1"/>
  <c r="E86" i="32" s="1"/>
  <c r="F86" i="32" a="1"/>
  <c r="F86" i="32" s="1"/>
  <c r="Q86" i="32" a="1"/>
  <c r="Q86" i="32" s="1"/>
  <c r="G86" i="32" a="1"/>
  <c r="G86" i="32" s="1"/>
  <c r="E89" i="32" a="1"/>
  <c r="E89" i="32" s="1"/>
  <c r="W86" i="32" a="1"/>
  <c r="W86" i="32" s="1"/>
  <c r="L86" i="32" a="1"/>
  <c r="L86" i="32" s="1"/>
  <c r="V89" i="32" a="1"/>
  <c r="V89" i="32" s="1"/>
  <c r="S89" i="32" a="1"/>
  <c r="S89" i="32" s="1"/>
  <c r="T89" i="32" a="1"/>
  <c r="T89" i="32" s="1"/>
  <c r="C89" i="32" a="1"/>
  <c r="C89" i="32" s="1"/>
  <c r="P86" i="32" a="1"/>
  <c r="P86" i="32" s="1"/>
  <c r="O86" i="32" a="1"/>
  <c r="O86" i="32" s="1"/>
  <c r="I86" i="32" a="1"/>
  <c r="I86" i="32" s="1"/>
  <c r="V86" i="32" a="1"/>
  <c r="V86" i="32" s="1"/>
  <c r="C90" i="32" a="1"/>
  <c r="C90" i="32" s="1"/>
  <c r="N89" i="32" a="1"/>
  <c r="N89" i="32" s="1"/>
  <c r="Q89" i="32" a="1"/>
  <c r="Q89" i="32" s="1"/>
  <c r="K86" i="32" a="1"/>
  <c r="K86" i="32" s="1"/>
  <c r="G89" i="32" a="1"/>
  <c r="G89" i="32" s="1"/>
  <c r="W89" i="32" a="1"/>
  <c r="W89" i="32" s="1"/>
  <c r="D89" i="32" a="1"/>
  <c r="D89" i="32" s="1"/>
  <c r="F89" i="32" a="1"/>
  <c r="F89" i="32" s="1"/>
  <c r="T86" i="32" a="1"/>
  <c r="T86" i="32" s="1"/>
  <c r="N86" i="32" a="1"/>
  <c r="N86" i="32" s="1"/>
  <c r="S86" i="32" a="1"/>
  <c r="S86" i="32" s="1"/>
  <c r="D86" i="32" a="1"/>
  <c r="D86" i="32" s="1"/>
  <c r="K89" i="32" a="1"/>
  <c r="K89" i="32" s="1"/>
  <c r="L89" i="32" a="1"/>
  <c r="L89" i="32" s="1"/>
  <c r="C86" i="32" a="1"/>
  <c r="C86" i="32" s="1"/>
  <c r="G85" i="32" a="1"/>
  <c r="G85" i="32" s="1"/>
  <c r="S85" i="32" a="1"/>
  <c r="S85" i="32" s="1"/>
  <c r="L85" i="32" a="1"/>
  <c r="L85" i="32" s="1"/>
  <c r="J85" i="32" a="1"/>
  <c r="J85" i="32" s="1"/>
  <c r="P82" i="32" a="1"/>
  <c r="P82" i="32" s="1"/>
  <c r="G82" i="32" a="1"/>
  <c r="G82" i="32" s="1"/>
  <c r="C82" i="32" a="1"/>
  <c r="C82" i="32" s="1"/>
  <c r="Q82" i="32" a="1"/>
  <c r="Q82" i="32" s="1"/>
  <c r="C87" i="32" a="1"/>
  <c r="C87" i="32" s="1"/>
  <c r="I87" i="32" a="1"/>
  <c r="I87" i="32" s="1"/>
  <c r="Q87" i="32" a="1"/>
  <c r="Q87" i="32" s="1"/>
  <c r="G87" i="32" a="1"/>
  <c r="G87" i="32" s="1"/>
  <c r="T84" i="32" a="1"/>
  <c r="T84" i="32" s="1"/>
  <c r="G84" i="32" a="1"/>
  <c r="G84" i="32" s="1"/>
  <c r="K84" i="32" a="1"/>
  <c r="K84" i="32" s="1"/>
  <c r="I84" i="32" a="1"/>
  <c r="I84" i="32" s="1"/>
  <c r="K83" i="32" a="1"/>
  <c r="K83" i="32" s="1"/>
  <c r="F83" i="32" a="1"/>
  <c r="F83" i="32" s="1"/>
  <c r="W83" i="32" a="1"/>
  <c r="W83" i="32" s="1"/>
  <c r="L83" i="32" a="1"/>
  <c r="L83" i="32" s="1"/>
  <c r="Q83" i="32" a="1"/>
  <c r="Q83" i="32" s="1"/>
  <c r="T88" i="32" a="1"/>
  <c r="T88" i="32" s="1"/>
  <c r="C88" i="32" a="1"/>
  <c r="C88" i="32" s="1"/>
  <c r="K88" i="32" a="1"/>
  <c r="K88" i="32" s="1"/>
  <c r="I88" i="32" a="1"/>
  <c r="I88" i="32" s="1"/>
  <c r="N85" i="32" a="1"/>
  <c r="N85" i="32" s="1"/>
  <c r="D82" i="32" a="1"/>
  <c r="D82" i="32" s="1"/>
  <c r="K82" i="32" a="1"/>
  <c r="K82" i="32" s="1"/>
  <c r="T87" i="32" a="1"/>
  <c r="T87" i="32" s="1"/>
  <c r="N84" i="32" a="1"/>
  <c r="N84" i="32" s="1"/>
  <c r="C83" i="32" a="1"/>
  <c r="C83" i="32" s="1"/>
  <c r="J83" i="32" a="1"/>
  <c r="J83" i="32" s="1"/>
  <c r="L88" i="32" a="1"/>
  <c r="L88" i="32" s="1"/>
  <c r="K85" i="32" a="1"/>
  <c r="K85" i="32" s="1"/>
  <c r="Q85" i="32" a="1"/>
  <c r="Q85" i="32" s="1"/>
  <c r="W85" i="32" a="1"/>
  <c r="W85" i="32" s="1"/>
  <c r="P85" i="32" a="1"/>
  <c r="P85" i="32" s="1"/>
  <c r="T85" i="32" a="1"/>
  <c r="T85" i="32" s="1"/>
  <c r="T82" i="32" a="1"/>
  <c r="T82" i="32" s="1"/>
  <c r="F82" i="32" a="1"/>
  <c r="F82" i="32" s="1"/>
  <c r="L82" i="32" a="1"/>
  <c r="L82" i="32" s="1"/>
  <c r="V82" i="32" a="1"/>
  <c r="V82" i="32" s="1"/>
  <c r="K87" i="32" a="1"/>
  <c r="K87" i="32" s="1"/>
  <c r="F87" i="32" a="1"/>
  <c r="F87" i="32" s="1"/>
  <c r="S87" i="32" a="1"/>
  <c r="S87" i="32" s="1"/>
  <c r="E87" i="32" a="1"/>
  <c r="E87" i="32" s="1"/>
  <c r="J87" i="32" a="1"/>
  <c r="J87" i="32" s="1"/>
  <c r="W84" i="32" a="1"/>
  <c r="W84" i="32" s="1"/>
  <c r="L84" i="32" a="1"/>
  <c r="L84" i="32" s="1"/>
  <c r="Q84" i="32" a="1"/>
  <c r="Q84" i="32" s="1"/>
  <c r="O84" i="32" a="1"/>
  <c r="O84" i="32" s="1"/>
  <c r="O83" i="32" a="1"/>
  <c r="O83" i="32" s="1"/>
  <c r="E83" i="32" a="1"/>
  <c r="E83" i="32" s="1"/>
  <c r="D83" i="32" a="1"/>
  <c r="D83" i="32" s="1"/>
  <c r="P83" i="32" a="1"/>
  <c r="P83" i="32" s="1"/>
  <c r="W88" i="32" a="1"/>
  <c r="W88" i="32" s="1"/>
  <c r="N88" i="32" a="1"/>
  <c r="N88" i="32" s="1"/>
  <c r="Q88" i="32" a="1"/>
  <c r="Q88" i="32" s="1"/>
  <c r="S88" i="32" a="1"/>
  <c r="S88" i="32" s="1"/>
  <c r="I85" i="32" a="1"/>
  <c r="I85" i="32" s="1"/>
  <c r="J82" i="32" a="1"/>
  <c r="J82" i="32" s="1"/>
  <c r="O82" i="32" a="1"/>
  <c r="O82" i="32" s="1"/>
  <c r="D87" i="32" a="1"/>
  <c r="D87" i="32" s="1"/>
  <c r="P84" i="32" a="1"/>
  <c r="P84" i="32" s="1"/>
  <c r="E84" i="32" a="1"/>
  <c r="E84" i="32" s="1"/>
  <c r="T83" i="32" a="1"/>
  <c r="T83" i="32" s="1"/>
  <c r="O88" i="32" a="1"/>
  <c r="O88" i="32" s="1"/>
  <c r="O85" i="32" a="1"/>
  <c r="O85" i="32" s="1"/>
  <c r="D85" i="32" a="1"/>
  <c r="D85" i="32" s="1"/>
  <c r="E85" i="32" a="1"/>
  <c r="E85" i="32" s="1"/>
  <c r="C85" i="32" a="1"/>
  <c r="C85" i="32" s="1"/>
  <c r="W82" i="32" a="1"/>
  <c r="W82" i="32" s="1"/>
  <c r="N82" i="32" a="1"/>
  <c r="N82" i="32" s="1"/>
  <c r="S82" i="32" a="1"/>
  <c r="S82" i="32" s="1"/>
  <c r="I82" i="32" a="1"/>
  <c r="I82" i="32" s="1"/>
  <c r="O87" i="32" a="1"/>
  <c r="O87" i="32" s="1"/>
  <c r="N87" i="32" a="1"/>
  <c r="N87" i="32" s="1"/>
  <c r="W87" i="32" a="1"/>
  <c r="W87" i="32" s="1"/>
  <c r="L87" i="32" a="1"/>
  <c r="L87" i="32" s="1"/>
  <c r="J84" i="32" a="1"/>
  <c r="J84" i="32" s="1"/>
  <c r="D84" i="32" a="1"/>
  <c r="D84" i="32" s="1"/>
  <c r="S84" i="32" a="1"/>
  <c r="S84" i="32" s="1"/>
  <c r="V84" i="32" a="1"/>
  <c r="V84" i="32" s="1"/>
  <c r="C84" i="32" a="1"/>
  <c r="C84" i="32" s="1"/>
  <c r="V83" i="32" a="1"/>
  <c r="V83" i="32" s="1"/>
  <c r="I83" i="32" a="1"/>
  <c r="I83" i="32" s="1"/>
  <c r="N83" i="32" a="1"/>
  <c r="N83" i="32" s="1"/>
  <c r="G83" i="32" a="1"/>
  <c r="G83" i="32" s="1"/>
  <c r="J88" i="32" a="1"/>
  <c r="J88" i="32" s="1"/>
  <c r="D88" i="32" a="1"/>
  <c r="D88" i="32" s="1"/>
  <c r="G88" i="32" a="1"/>
  <c r="G88" i="32" s="1"/>
  <c r="V88" i="32" a="1"/>
  <c r="V88" i="32" s="1"/>
  <c r="F88" i="32" a="1"/>
  <c r="F88" i="32" s="1"/>
  <c r="V85" i="32" a="1"/>
  <c r="V85" i="32" s="1"/>
  <c r="F85" i="32" a="1"/>
  <c r="F85" i="32" s="1"/>
  <c r="E82" i="32" a="1"/>
  <c r="E82" i="32" s="1"/>
  <c r="V87" i="32" a="1"/>
  <c r="V87" i="32" s="1"/>
  <c r="P87" i="32" a="1"/>
  <c r="P87" i="32" s="1"/>
  <c r="F84" i="32" a="1"/>
  <c r="F84" i="32" s="1"/>
  <c r="S83" i="32" a="1"/>
  <c r="S83" i="32" s="1"/>
  <c r="P88" i="32" a="1"/>
  <c r="P88" i="32" s="1"/>
  <c r="E88" i="32" a="1"/>
  <c r="E88" i="32" s="1"/>
  <c r="K21" i="49"/>
  <c r="I21" i="49"/>
  <c r="G23" i="49"/>
  <c r="L23" i="49"/>
  <c r="J23" i="49"/>
  <c r="L22" i="49"/>
  <c r="J22" i="49"/>
  <c r="J21" i="49"/>
  <c r="F23" i="49"/>
  <c r="F22" i="49"/>
  <c r="H21" i="49"/>
  <c r="D21" i="49"/>
  <c r="K23" i="49"/>
  <c r="E23" i="49"/>
  <c r="G22" i="49"/>
  <c r="E22" i="49"/>
  <c r="D22" i="49"/>
  <c r="G21" i="49"/>
  <c r="E21" i="49"/>
  <c r="H23" i="49"/>
  <c r="H22" i="49"/>
  <c r="L21" i="49"/>
  <c r="F21" i="49"/>
  <c r="D23" i="49"/>
  <c r="I23" i="49"/>
  <c r="K22" i="49"/>
  <c r="I22" i="49"/>
  <c r="D27" i="49"/>
  <c r="I27" i="49"/>
  <c r="K25" i="49"/>
  <c r="I25" i="49"/>
  <c r="G26" i="49"/>
  <c r="E26" i="49"/>
  <c r="D26" i="49"/>
  <c r="L24" i="49"/>
  <c r="F24" i="49"/>
  <c r="E27" i="49"/>
  <c r="J25" i="49"/>
  <c r="J26" i="49"/>
  <c r="H27" i="49"/>
  <c r="F27" i="49"/>
  <c r="H25" i="49"/>
  <c r="D25" i="49"/>
  <c r="K26" i="49"/>
  <c r="I26" i="49"/>
  <c r="G24" i="49"/>
  <c r="D24" i="49"/>
  <c r="J24" i="49"/>
  <c r="G25" i="49"/>
  <c r="L26" i="49"/>
  <c r="I24" i="49"/>
  <c r="G27" i="49"/>
  <c r="L27" i="49"/>
  <c r="J27" i="49"/>
  <c r="L25" i="49"/>
  <c r="F25" i="49"/>
  <c r="H26" i="49"/>
  <c r="F26" i="49"/>
  <c r="K24" i="49"/>
  <c r="E24" i="49"/>
  <c r="K27" i="49"/>
  <c r="E25" i="49"/>
  <c r="H24" i="49"/>
  <c r="M22" i="17"/>
  <c r="BQ23" i="17"/>
  <c r="BM25" i="17"/>
  <c r="BM26" i="17"/>
  <c r="BM22" i="17"/>
  <c r="BM24" i="17"/>
  <c r="BG21" i="17"/>
  <c r="AZ24" i="17"/>
  <c r="BG25" i="17"/>
  <c r="BG22" i="17"/>
  <c r="BT22" i="17"/>
  <c r="BU22" i="17" s="1"/>
  <c r="BT25" i="17"/>
  <c r="BU25" i="17" s="1"/>
  <c r="AJ25" i="17"/>
  <c r="U27" i="17"/>
  <c r="M26" i="17"/>
  <c r="CA25" i="17"/>
  <c r="Q26" i="48"/>
  <c r="K21" i="48"/>
  <c r="H21" i="48"/>
  <c r="F21" i="48"/>
  <c r="I23" i="48"/>
  <c r="J23" i="48"/>
  <c r="K23" i="48"/>
  <c r="E23" i="48"/>
  <c r="O22" i="48"/>
  <c r="G22" i="48"/>
  <c r="E22" i="48"/>
  <c r="O25" i="48"/>
  <c r="L25" i="48"/>
  <c r="I25" i="48"/>
  <c r="O21" i="48"/>
  <c r="L21" i="48"/>
  <c r="I21" i="48"/>
  <c r="M23" i="48"/>
  <c r="N23" i="48"/>
  <c r="O23" i="48"/>
  <c r="H22" i="48"/>
  <c r="I22" i="48"/>
  <c r="F22" i="48"/>
  <c r="K22" i="48"/>
  <c r="D25" i="48"/>
  <c r="P25" i="48"/>
  <c r="M25" i="48"/>
  <c r="Q27" i="48"/>
  <c r="Q24" i="48"/>
  <c r="D21" i="48"/>
  <c r="P21" i="48"/>
  <c r="M21" i="48"/>
  <c r="P23" i="48"/>
  <c r="H23" i="48"/>
  <c r="D23" i="48"/>
  <c r="L22" i="48"/>
  <c r="M22" i="48"/>
  <c r="J22" i="48"/>
  <c r="G25" i="48"/>
  <c r="F25" i="48"/>
  <c r="E25" i="48"/>
  <c r="N25" i="48"/>
  <c r="G21" i="48"/>
  <c r="N21" i="48"/>
  <c r="E21" i="48"/>
  <c r="J21" i="48"/>
  <c r="F23" i="48"/>
  <c r="G23" i="48"/>
  <c r="L23" i="48"/>
  <c r="P22" i="48"/>
  <c r="D22" i="48"/>
  <c r="N22" i="48"/>
  <c r="K25" i="48"/>
  <c r="H25" i="48"/>
  <c r="J25" i="48"/>
  <c r="F27" i="48"/>
  <c r="E27" i="48"/>
  <c r="D27" i="48"/>
  <c r="P26" i="48"/>
  <c r="M26" i="48"/>
  <c r="J26" i="48"/>
  <c r="J24" i="48"/>
  <c r="K24" i="48"/>
  <c r="L24" i="48"/>
  <c r="I27" i="48"/>
  <c r="J27" i="48"/>
  <c r="G27" i="48"/>
  <c r="H27" i="48"/>
  <c r="G26" i="48"/>
  <c r="D26" i="48"/>
  <c r="N26" i="48"/>
  <c r="N24" i="48"/>
  <c r="O24" i="48"/>
  <c r="P24" i="48"/>
  <c r="M27" i="48"/>
  <c r="N27" i="48"/>
  <c r="K27" i="48"/>
  <c r="H26" i="48"/>
  <c r="O26" i="48"/>
  <c r="K26" i="48"/>
  <c r="E26" i="48"/>
  <c r="E24" i="48"/>
  <c r="I24" i="48"/>
  <c r="M24" i="48"/>
  <c r="P27" i="48"/>
  <c r="L27" i="48"/>
  <c r="O27" i="48"/>
  <c r="L26" i="48"/>
  <c r="I26" i="48"/>
  <c r="F26" i="48"/>
  <c r="F24" i="48"/>
  <c r="G24" i="48"/>
  <c r="H24" i="48"/>
  <c r="D24" i="48"/>
  <c r="AA22" i="17"/>
  <c r="AA21" i="17"/>
  <c r="AA25" i="17"/>
  <c r="G20" i="49"/>
  <c r="K20" i="49"/>
  <c r="H20" i="49"/>
  <c r="L20" i="49"/>
  <c r="D20" i="49"/>
  <c r="E20" i="49"/>
  <c r="I20" i="49"/>
  <c r="F20" i="49"/>
  <c r="J20" i="49"/>
  <c r="F20" i="48"/>
  <c r="J20" i="48"/>
  <c r="N20" i="48"/>
  <c r="E20" i="48"/>
  <c r="M20" i="48"/>
  <c r="D20" i="48"/>
  <c r="G20" i="48"/>
  <c r="K20" i="48"/>
  <c r="O20" i="48"/>
  <c r="H20" i="48"/>
  <c r="L20" i="48"/>
  <c r="P20" i="48"/>
  <c r="I20" i="48"/>
  <c r="P22" i="17"/>
  <c r="M27" i="17"/>
  <c r="AN27" i="17" a="1"/>
  <c r="AN27" i="17" s="1"/>
  <c r="BM23" i="17"/>
  <c r="BX21" i="17"/>
  <c r="AQ21" i="17"/>
  <c r="BX25" i="17"/>
  <c r="CA23" i="17"/>
  <c r="AQ25" i="17"/>
  <c r="AG22" i="17"/>
  <c r="AN21" i="17" a="1"/>
  <c r="AN21" i="17" s="1"/>
  <c r="AG23" i="17"/>
  <c r="BX24" i="17"/>
  <c r="M23" i="17"/>
  <c r="AZ25" i="17"/>
  <c r="BM27" i="17"/>
  <c r="BU21" i="17"/>
  <c r="U21" i="17"/>
  <c r="AQ27" i="17"/>
  <c r="AG24" i="17"/>
  <c r="BP21" i="17"/>
  <c r="U23" i="17"/>
  <c r="CA21" i="17"/>
  <c r="M25" i="17"/>
  <c r="BQ22" i="17"/>
  <c r="AZ21" i="17"/>
  <c r="BD21" i="17" s="1" a="1"/>
  <c r="BD21" i="17" s="1"/>
  <c r="BQ24" i="17"/>
  <c r="BG27" i="17"/>
  <c r="BP27" i="17"/>
  <c r="AN22" i="17" a="1"/>
  <c r="AN22" i="17" s="1"/>
  <c r="BP26" i="17"/>
  <c r="BP25" i="17"/>
  <c r="BQ25" i="17"/>
  <c r="AA24" i="17"/>
  <c r="H27" i="17"/>
  <c r="AZ23" i="17"/>
  <c r="BI26" i="17" a="1"/>
  <c r="BI26" i="17" s="1"/>
  <c r="BH26" i="17"/>
  <c r="BQ27" i="17"/>
  <c r="AT21" i="17"/>
  <c r="AT26" i="17"/>
  <c r="BB22" i="17" a="1"/>
  <c r="BB22" i="17" s="1"/>
  <c r="BA22" i="17" a="1"/>
  <c r="BA22" i="17" s="1"/>
  <c r="BH24" i="17"/>
  <c r="BI24" i="17" a="1"/>
  <c r="BI24" i="17" s="1"/>
  <c r="BH25" i="17"/>
  <c r="BI25" i="17" a="1"/>
  <c r="BI25" i="17" s="1"/>
  <c r="AU25" i="17"/>
  <c r="BC25" i="17" s="1"/>
  <c r="EE26" i="16"/>
  <c r="C20" i="37"/>
  <c r="AT24" i="17"/>
  <c r="EE22" i="16"/>
  <c r="C16" i="37"/>
  <c r="AQ26" i="17"/>
  <c r="H25" i="17"/>
  <c r="AZ27" i="17"/>
  <c r="AZ22" i="17"/>
  <c r="BA25" i="17" a="1"/>
  <c r="BA25" i="17" s="1"/>
  <c r="BB25" i="17" a="1"/>
  <c r="BB25" i="17" s="1"/>
  <c r="BC27" i="17"/>
  <c r="AU27" i="17"/>
  <c r="C15" i="37"/>
  <c r="EE21" i="16"/>
  <c r="BI27" i="17" a="1"/>
  <c r="BI27" i="17" s="1"/>
  <c r="BH27" i="17"/>
  <c r="AU21" i="17"/>
  <c r="BC21" i="17" s="1"/>
  <c r="EE24" i="16"/>
  <c r="C18" i="37"/>
  <c r="AN23" i="17" a="1"/>
  <c r="AN23" i="17" s="1"/>
  <c r="BQ26" i="17"/>
  <c r="M21" i="17"/>
  <c r="AZ26" i="17"/>
  <c r="P24" i="17"/>
  <c r="H24" i="17"/>
  <c r="C14" i="37"/>
  <c r="EE20" i="16"/>
  <c r="C19" i="16"/>
  <c r="C8" i="16" s="1"/>
  <c r="AU24" i="17"/>
  <c r="BC24" i="17" s="1"/>
  <c r="BI22" i="17" a="1"/>
  <c r="BI22" i="17" s="1"/>
  <c r="BH22" i="17"/>
  <c r="BI21" i="17" a="1"/>
  <c r="BI21" i="17" s="1"/>
  <c r="BH21" i="17"/>
  <c r="BA23" i="17" a="1"/>
  <c r="BA23" i="17" s="1"/>
  <c r="BB23" i="17" a="1"/>
  <c r="BB23" i="17" s="1"/>
  <c r="AT25" i="17"/>
  <c r="BG24" i="17"/>
  <c r="BB24" i="17" a="1"/>
  <c r="BB24" i="17" s="1"/>
  <c r="BA24" i="17" a="1"/>
  <c r="BA24" i="17" s="1"/>
  <c r="EE23" i="16"/>
  <c r="C17" i="37"/>
  <c r="BI23" i="17" a="1"/>
  <c r="BI23" i="17" s="1"/>
  <c r="BH23" i="17"/>
  <c r="AN26" i="17" a="1"/>
  <c r="AN26" i="17" s="1"/>
  <c r="BT24" i="17"/>
  <c r="BU24" i="17" s="1"/>
  <c r="H22" i="17"/>
  <c r="EE27" i="16"/>
  <c r="C21" i="37"/>
  <c r="C13" i="37" s="1"/>
  <c r="C5" i="37" s="1"/>
  <c r="H23" i="17"/>
  <c r="AU22" i="17"/>
  <c r="BC22" i="17" s="1"/>
  <c r="BP24" i="17"/>
  <c r="AT23" i="17"/>
  <c r="EE25" i="16"/>
  <c r="C19" i="37"/>
  <c r="BP22" i="17"/>
  <c r="BB27" i="17" a="1"/>
  <c r="BB27" i="17" s="1"/>
  <c r="BA27" i="17" a="1"/>
  <c r="BA27" i="17" s="1"/>
  <c r="BA26" i="17" a="1"/>
  <c r="BA26" i="17" s="1"/>
  <c r="BB26" i="17" a="1"/>
  <c r="BB26" i="17" s="1"/>
  <c r="AU23" i="17"/>
  <c r="BC23" i="17" s="1"/>
  <c r="AT22" i="17"/>
  <c r="AU26" i="17"/>
  <c r="BC26" i="17" s="1"/>
  <c r="AT27" i="17"/>
  <c r="BD27" i="17" a="1"/>
  <c r="BD27" i="17" s="1"/>
  <c r="AN25" i="17" a="1"/>
  <c r="AN25" i="17" s="1"/>
  <c r="AN24" i="17" a="1"/>
  <c r="AN24" i="17" s="1"/>
  <c r="BT23" i="17"/>
  <c r="BU23" i="17" s="1"/>
  <c r="H26" i="17"/>
  <c r="H21" i="17"/>
  <c r="CA27" i="16" l="1"/>
  <c r="CA22" i="16"/>
  <c r="CA24" i="16"/>
  <c r="BD26" i="17" a="1"/>
  <c r="BD26" i="17" s="1"/>
  <c r="CS26" i="17" s="1" a="1"/>
  <c r="CS26" i="17" s="1"/>
  <c r="BD22" i="17" a="1"/>
  <c r="BD22" i="17" s="1"/>
  <c r="BD25" i="17" a="1"/>
  <c r="BD25" i="17" s="1"/>
  <c r="BD24" i="17" a="1"/>
  <c r="BD24" i="17" s="1"/>
  <c r="CN24" i="17" s="1" a="1"/>
  <c r="CN24" i="17" s="1"/>
  <c r="BD23" i="17" a="1"/>
  <c r="BD23" i="17" s="1"/>
  <c r="CR23" i="17" s="1" a="1"/>
  <c r="CR23" i="17" s="1"/>
  <c r="CA20" i="16"/>
  <c r="BZ19" i="16"/>
  <c r="CA26" i="16"/>
  <c r="CA25" i="16"/>
  <c r="CA23" i="16"/>
  <c r="BY19" i="16"/>
  <c r="L19" i="48"/>
  <c r="F19" i="48"/>
  <c r="P19" i="48"/>
  <c r="H19" i="48"/>
  <c r="M19" i="48"/>
  <c r="CN26" i="17" a="1"/>
  <c r="CN26" i="17" s="1"/>
  <c r="CT26" i="17" a="1"/>
  <c r="CT26" i="17" s="1"/>
  <c r="CR26" i="17" a="1"/>
  <c r="CR26" i="17" s="1"/>
  <c r="CP26" i="17" a="1"/>
  <c r="CP26" i="17" s="1"/>
  <c r="CO26" i="17" a="1"/>
  <c r="CO26" i="17" s="1"/>
  <c r="DE26" i="17" s="1"/>
  <c r="CT21" i="17" a="1"/>
  <c r="CT21" i="17" s="1"/>
  <c r="CP21" i="17" a="1"/>
  <c r="CP21" i="17" s="1"/>
  <c r="CR21" i="17" a="1"/>
  <c r="CR21" i="17" s="1"/>
  <c r="CO21" i="17" a="1"/>
  <c r="CO21" i="17" s="1"/>
  <c r="CN21" i="17" a="1"/>
  <c r="CN21" i="17" s="1"/>
  <c r="CS21" i="17" a="1"/>
  <c r="CS21" i="17" s="1"/>
  <c r="K19" i="48"/>
  <c r="L19" i="49"/>
  <c r="J19" i="49"/>
  <c r="W22" i="48"/>
  <c r="R22" i="48"/>
  <c r="R25" i="48"/>
  <c r="W25" i="48"/>
  <c r="R27" i="48"/>
  <c r="W27" i="48"/>
  <c r="J27" i="19" s="1"/>
  <c r="J37" i="19" s="1"/>
  <c r="J47" i="19" s="1"/>
  <c r="J15" i="18" s="1"/>
  <c r="R26" i="48"/>
  <c r="W26" i="48"/>
  <c r="W20" i="48"/>
  <c r="R20" i="48"/>
  <c r="D19" i="48"/>
  <c r="DG19" i="17"/>
  <c r="CS27" i="17" a="1"/>
  <c r="CS27" i="17" s="1"/>
  <c r="R27" i="19" s="1"/>
  <c r="H19" i="49"/>
  <c r="F19" i="49"/>
  <c r="N19" i="48"/>
  <c r="N25" i="49"/>
  <c r="S25" i="49"/>
  <c r="N24" i="49"/>
  <c r="S24" i="49"/>
  <c r="W23" i="48"/>
  <c r="R23" i="48"/>
  <c r="CR27" i="17" a="1"/>
  <c r="CR27" i="17" s="1"/>
  <c r="Q27" i="19" s="1"/>
  <c r="CT27" i="17" a="1"/>
  <c r="CT27" i="17" s="1"/>
  <c r="S27" i="19" s="1"/>
  <c r="I19" i="49"/>
  <c r="E19" i="49"/>
  <c r="G19" i="49"/>
  <c r="W21" i="48"/>
  <c r="R21" i="48"/>
  <c r="N27" i="49"/>
  <c r="S27" i="49"/>
  <c r="K27" i="19" s="1"/>
  <c r="K37" i="19" s="1"/>
  <c r="K47" i="19" s="1"/>
  <c r="K15" i="18" s="1"/>
  <c r="N21" i="49"/>
  <c r="S21" i="49"/>
  <c r="I19" i="48"/>
  <c r="CO27" i="17" a="1"/>
  <c r="CO27" i="17" s="1"/>
  <c r="N27" i="19" s="1"/>
  <c r="CP27" i="17" a="1"/>
  <c r="CP27" i="17" s="1"/>
  <c r="O27" i="19" s="1"/>
  <c r="S20" i="49"/>
  <c r="N20" i="49"/>
  <c r="D19" i="49"/>
  <c r="K19" i="49"/>
  <c r="CP24" i="17" a="1"/>
  <c r="CP24" i="17" s="1"/>
  <c r="S22" i="49"/>
  <c r="N22" i="49"/>
  <c r="N23" i="49"/>
  <c r="S23" i="49"/>
  <c r="R24" i="48"/>
  <c r="W24" i="48"/>
  <c r="N26" i="49"/>
  <c r="S26" i="49"/>
  <c r="E19" i="48"/>
  <c r="J19" i="48"/>
  <c r="G19" i="48"/>
  <c r="O19" i="48"/>
  <c r="CN27" i="17" a="1"/>
  <c r="CN27" i="17" s="1"/>
  <c r="M27" i="19" s="1"/>
  <c r="CR24" i="17" l="1" a="1"/>
  <c r="CR24" i="17" s="1"/>
  <c r="Q24" i="19" s="1"/>
  <c r="CN22" i="17" a="1"/>
  <c r="CN22" i="17" s="1"/>
  <c r="CR22" i="17" a="1"/>
  <c r="CR22" i="17" s="1"/>
  <c r="Q22" i="19" s="1"/>
  <c r="CA19" i="16"/>
  <c r="CA18" i="16" s="1"/>
  <c r="CP22" i="17" a="1"/>
  <c r="CP22" i="17" s="1"/>
  <c r="CT25" i="17" a="1"/>
  <c r="CT25" i="17" s="1"/>
  <c r="S25" i="19" s="1"/>
  <c r="CS25" i="17" a="1"/>
  <c r="CS25" i="17" s="1"/>
  <c r="R25" i="19" s="1"/>
  <c r="CP25" i="17" a="1"/>
  <c r="CP25" i="17" s="1"/>
  <c r="O25" i="19" s="1"/>
  <c r="CR25" i="17" a="1"/>
  <c r="CR25" i="17" s="1"/>
  <c r="Q25" i="19" s="1"/>
  <c r="CO25" i="17" a="1"/>
  <c r="CO25" i="17" s="1"/>
  <c r="N25" i="19" s="1"/>
  <c r="CN25" i="17" a="1"/>
  <c r="CN25" i="17" s="1"/>
  <c r="M25" i="19" s="1"/>
  <c r="DA21" i="17"/>
  <c r="CS22" i="17" a="1"/>
  <c r="CS22" i="17" s="1"/>
  <c r="CO22" i="17" a="1"/>
  <c r="CO22" i="17" s="1"/>
  <c r="CT22" i="17" a="1"/>
  <c r="CT22" i="17" s="1"/>
  <c r="S21" i="19" s="1"/>
  <c r="CO24" i="17" a="1"/>
  <c r="CO24" i="17" s="1"/>
  <c r="DE24" i="17" s="1"/>
  <c r="CT24" i="17" a="1"/>
  <c r="CT24" i="17" s="1"/>
  <c r="S24" i="19" s="1"/>
  <c r="CS24" i="17" a="1"/>
  <c r="CS24" i="17" s="1"/>
  <c r="CN23" i="17" a="1"/>
  <c r="CN23" i="17" s="1"/>
  <c r="CW26" i="17"/>
  <c r="CW21" i="17"/>
  <c r="CT23" i="17" a="1"/>
  <c r="CT23" i="17" s="1"/>
  <c r="DA26" i="17"/>
  <c r="CS23" i="17" a="1"/>
  <c r="CS23" i="17" s="1"/>
  <c r="CP23" i="17" a="1"/>
  <c r="CP23" i="17" s="1"/>
  <c r="CO23" i="17" a="1"/>
  <c r="CO23" i="17" s="1"/>
  <c r="N19" i="49"/>
  <c r="U19" i="49" s="1"/>
  <c r="Q23" i="19"/>
  <c r="Q26" i="19"/>
  <c r="U24" i="49"/>
  <c r="K23" i="19"/>
  <c r="K33" i="19" s="1"/>
  <c r="K43" i="19" s="1"/>
  <c r="K11" i="18" s="1"/>
  <c r="N21" i="19"/>
  <c r="Y26" i="48"/>
  <c r="J25" i="19"/>
  <c r="J35" i="19" s="1"/>
  <c r="J45" i="19" s="1"/>
  <c r="J13" i="18" s="1"/>
  <c r="J24" i="19"/>
  <c r="J34" i="19" s="1"/>
  <c r="J44" i="19" s="1"/>
  <c r="J12" i="18" s="1"/>
  <c r="Y25" i="48"/>
  <c r="M26" i="19"/>
  <c r="CW27" i="17"/>
  <c r="Y24" i="48"/>
  <c r="J23" i="19"/>
  <c r="J33" i="19" s="1"/>
  <c r="J43" i="19" s="1"/>
  <c r="J11" i="18" s="1"/>
  <c r="O21" i="19"/>
  <c r="U21" i="49"/>
  <c r="K20" i="19"/>
  <c r="K30" i="19" s="1"/>
  <c r="K40" i="19" s="1"/>
  <c r="K8" i="18" s="1"/>
  <c r="M21" i="19"/>
  <c r="K25" i="19"/>
  <c r="K35" i="19" s="1"/>
  <c r="K45" i="19" s="1"/>
  <c r="K13" i="18" s="1"/>
  <c r="U26" i="49"/>
  <c r="K22" i="19"/>
  <c r="K32" i="19" s="1"/>
  <c r="K42" i="19" s="1"/>
  <c r="K10" i="18" s="1"/>
  <c r="U23" i="49"/>
  <c r="U22" i="49"/>
  <c r="K21" i="19"/>
  <c r="K31" i="19" s="1"/>
  <c r="K41" i="19" s="1"/>
  <c r="K9" i="18" s="1"/>
  <c r="R21" i="19"/>
  <c r="DA27" i="17"/>
  <c r="O26" i="19"/>
  <c r="Q19" i="48"/>
  <c r="W19" i="48" s="1"/>
  <c r="J19" i="19" s="1"/>
  <c r="Y21" i="48"/>
  <c r="J20" i="19"/>
  <c r="J30" i="19" s="1"/>
  <c r="J40" i="19" s="1"/>
  <c r="J8" i="18" s="1"/>
  <c r="M24" i="19"/>
  <c r="K24" i="19"/>
  <c r="K34" i="19" s="1"/>
  <c r="K44" i="19" s="1"/>
  <c r="K12" i="18" s="1"/>
  <c r="U25" i="49"/>
  <c r="R19" i="48"/>
  <c r="J26" i="19"/>
  <c r="J36" i="19" s="1"/>
  <c r="J46" i="19" s="1"/>
  <c r="J14" i="18" s="1"/>
  <c r="Y27" i="48"/>
  <c r="M19" i="49"/>
  <c r="S19" i="49" s="1"/>
  <c r="K19" i="19" s="1"/>
  <c r="U20" i="49"/>
  <c r="N26" i="19"/>
  <c r="DE27" i="17"/>
  <c r="U27" i="49"/>
  <c r="K26" i="19"/>
  <c r="K36" i="19" s="1"/>
  <c r="K46" i="19" s="1"/>
  <c r="K14" i="18" s="1"/>
  <c r="S26" i="19"/>
  <c r="O24" i="19"/>
  <c r="Y23" i="48"/>
  <c r="J22" i="19"/>
  <c r="J32" i="19" s="1"/>
  <c r="J42" i="19" s="1"/>
  <c r="J10" i="18" s="1"/>
  <c r="R26" i="19"/>
  <c r="Y20" i="48"/>
  <c r="Y22" i="48"/>
  <c r="J21" i="19"/>
  <c r="J31" i="19" s="1"/>
  <c r="J41" i="19" s="1"/>
  <c r="J9" i="18" s="1"/>
  <c r="Q21" i="19"/>
  <c r="M22" i="19" l="1"/>
  <c r="O22" i="19"/>
  <c r="J28" i="18"/>
  <c r="K31" i="18"/>
  <c r="K28" i="18"/>
  <c r="DA25" i="17"/>
  <c r="R22" i="19"/>
  <c r="R24" i="19"/>
  <c r="N24" i="19"/>
  <c r="M23" i="19"/>
  <c r="CW25" i="17"/>
  <c r="N22" i="19"/>
  <c r="S22" i="19"/>
  <c r="X27" i="19"/>
  <c r="W34" i="18"/>
  <c r="DE22" i="17"/>
  <c r="O23" i="19"/>
  <c r="S23" i="19"/>
  <c r="E33" i="18"/>
  <c r="E34" i="18"/>
  <c r="K29" i="18"/>
  <c r="K27" i="18"/>
  <c r="K33" i="18"/>
  <c r="K34" i="18"/>
  <c r="K32" i="18"/>
  <c r="K30" i="18"/>
  <c r="J30" i="18"/>
  <c r="J32" i="18"/>
  <c r="J31" i="18"/>
  <c r="J27" i="18"/>
  <c r="J29" i="18"/>
  <c r="J33" i="18"/>
  <c r="J34" i="18"/>
  <c r="CW22" i="17"/>
  <c r="W28" i="18" s="1"/>
  <c r="DA22" i="17"/>
  <c r="N23" i="19"/>
  <c r="R23" i="19"/>
  <c r="CW24" i="17"/>
  <c r="CW23" i="17"/>
  <c r="DA24" i="17"/>
  <c r="DE23" i="17"/>
  <c r="DA23" i="17"/>
  <c r="W33" i="18"/>
  <c r="X26" i="19"/>
  <c r="W29" i="18" l="1"/>
  <c r="X25" i="19"/>
  <c r="W32" i="18"/>
  <c r="X24" i="19"/>
  <c r="E29" i="18"/>
  <c r="W31" i="18"/>
  <c r="E30" i="18"/>
  <c r="O32" i="18" a="1"/>
  <c r="X21" i="19"/>
  <c r="W30" i="18"/>
  <c r="X23" i="19"/>
  <c r="X22" i="19"/>
  <c r="D20" i="17"/>
  <c r="BZ20" i="17" l="1" a="1"/>
  <c r="BZ20" i="17" s="1"/>
  <c r="BZ19" i="17" s="1"/>
  <c r="AR19" i="17"/>
  <c r="AP19" i="17"/>
  <c r="AO19" i="17"/>
  <c r="AM19" i="17"/>
  <c r="AL19" i="17"/>
  <c r="AI20" i="17"/>
  <c r="AI19" i="17" s="1"/>
  <c r="AH20" i="17"/>
  <c r="AF19" i="17"/>
  <c r="AE19" i="17"/>
  <c r="AC20" i="17"/>
  <c r="AB20" i="17"/>
  <c r="Y19" i="17"/>
  <c r="W20" i="17"/>
  <c r="S19" i="17"/>
  <c r="N19" i="17"/>
  <c r="K19" i="17"/>
  <c r="J20" i="17"/>
  <c r="O30" i="18" a="1"/>
  <c r="O28" i="18" a="1"/>
  <c r="O31" i="18" a="1"/>
  <c r="O33" i="18" a="1"/>
  <c r="BY20" i="17" a="1"/>
  <c r="BY20" i="17" s="1"/>
  <c r="BY19" i="17" s="1"/>
  <c r="BF20" i="17" a="1"/>
  <c r="BF20" i="17" s="1"/>
  <c r="BF19" i="17" s="1"/>
  <c r="BJ19" i="17"/>
  <c r="AH19" i="17"/>
  <c r="BR20" i="17" a="1"/>
  <c r="BR20" i="17" s="1"/>
  <c r="BR19" i="17" s="1"/>
  <c r="V19" i="17"/>
  <c r="BW20" i="17" a="1"/>
  <c r="BW20" i="17" s="1"/>
  <c r="C20" i="17" a="1"/>
  <c r="C20" i="17" s="1"/>
  <c r="BO20" i="17" a="1"/>
  <c r="BO20" i="17" s="1"/>
  <c r="BK19" i="17"/>
  <c r="AB19" i="17"/>
  <c r="DL20" i="17"/>
  <c r="T27" i="18" s="1"/>
  <c r="BL20" i="17" a="1"/>
  <c r="BL20" i="17" s="1"/>
  <c r="BS20" i="17" a="1"/>
  <c r="BS20" i="17" s="1"/>
  <c r="BV20" i="17" a="1"/>
  <c r="BV20" i="17" s="1"/>
  <c r="BV19" i="17" s="1"/>
  <c r="AW19" i="17"/>
  <c r="AY19" i="17"/>
  <c r="AT20" i="17" l="1"/>
  <c r="O29" i="18" a="1"/>
  <c r="CA20" i="17"/>
  <c r="CA19" i="17"/>
  <c r="CA18" i="17" s="1"/>
  <c r="AQ19" i="17"/>
  <c r="AQ18" i="17" s="1"/>
  <c r="BL19" i="17"/>
  <c r="BM19" i="17" s="1"/>
  <c r="BM18" i="17" s="1"/>
  <c r="BM20" i="17"/>
  <c r="AJ19" i="17"/>
  <c r="AJ18" i="17" s="1"/>
  <c r="I19" i="17"/>
  <c r="J19" i="17" s="1"/>
  <c r="J18" i="17" s="1"/>
  <c r="AJ20" i="17"/>
  <c r="U20" i="17"/>
  <c r="T19" i="17"/>
  <c r="U19" i="17" s="1"/>
  <c r="U18" i="17" s="1"/>
  <c r="H20" i="17"/>
  <c r="G19" i="17"/>
  <c r="BS19" i="17"/>
  <c r="BT19" i="17" s="1"/>
  <c r="BU19" i="17" s="1"/>
  <c r="BU18" i="17" s="1"/>
  <c r="BT20" i="17"/>
  <c r="BU20" i="17" s="1"/>
  <c r="AV19" i="17"/>
  <c r="AZ20" i="17"/>
  <c r="X20" i="17"/>
  <c r="W19" i="17"/>
  <c r="X19" i="17" s="1"/>
  <c r="X18" i="17" s="1"/>
  <c r="BE19" i="17"/>
  <c r="BH19" i="17" s="1"/>
  <c r="BH18" i="17" s="1"/>
  <c r="BG20" i="17"/>
  <c r="AK19" i="17"/>
  <c r="AN20" i="17" a="1"/>
  <c r="AN20" i="17" s="1"/>
  <c r="BX20" i="17"/>
  <c r="BW19" i="17"/>
  <c r="BX19" i="17" s="1"/>
  <c r="BX18" i="17" s="1"/>
  <c r="AA20" i="17"/>
  <c r="Z19" i="17"/>
  <c r="AA19" i="17" s="1"/>
  <c r="AA18" i="17" s="1"/>
  <c r="AG19" i="17"/>
  <c r="AG18" i="17" s="1"/>
  <c r="M20" i="17"/>
  <c r="L19" i="17"/>
  <c r="M19" i="17" s="1"/>
  <c r="M18" i="17" s="1"/>
  <c r="AU20" i="17"/>
  <c r="BC20" i="17" s="1"/>
  <c r="AS19" i="17"/>
  <c r="P20" i="17"/>
  <c r="O19" i="17"/>
  <c r="P19" i="17" s="1"/>
  <c r="P18" i="17" s="1"/>
  <c r="BO19" i="17"/>
  <c r="BI20" i="17" a="1"/>
  <c r="BI20" i="17" s="1"/>
  <c r="AG20" i="17"/>
  <c r="AD20" i="17"/>
  <c r="AC19" i="17"/>
  <c r="AD19" i="17" s="1"/>
  <c r="AD18" i="17" s="1"/>
  <c r="F19" i="19"/>
  <c r="DG20" i="17"/>
  <c r="F27" i="18" s="1"/>
  <c r="BA20" i="17" a="1"/>
  <c r="BA20" i="17" s="1"/>
  <c r="BB20" i="17" a="1"/>
  <c r="BB20" i="17" s="1"/>
  <c r="AX19" i="17"/>
  <c r="BN20" i="17"/>
  <c r="BP20" i="17" s="1"/>
  <c r="C19" i="17"/>
  <c r="BH20" i="17"/>
  <c r="AQ20" i="17"/>
  <c r="BD20" i="17" l="1" a="1"/>
  <c r="BD20" i="17" s="1"/>
  <c r="BI19" i="17" a="1"/>
  <c r="BI19" i="17" s="1"/>
  <c r="BI18" i="17" s="1"/>
  <c r="BA19" i="17" a="1"/>
  <c r="BA19" i="17" s="1"/>
  <c r="BA18" i="17" s="1"/>
  <c r="BB19" i="17" a="1"/>
  <c r="BB19" i="17" s="1"/>
  <c r="BB18" i="17" s="1"/>
  <c r="AU19" i="17"/>
  <c r="AU18" i="17" s="1"/>
  <c r="C8" i="17"/>
  <c r="AT19" i="17"/>
  <c r="BN19" i="17"/>
  <c r="BQ19" i="17" s="1"/>
  <c r="BQ18" i="17" s="1"/>
  <c r="BQ20" i="17"/>
  <c r="BG19" i="17"/>
  <c r="AZ19" i="17"/>
  <c r="H19" i="17"/>
  <c r="H18" i="17" s="1"/>
  <c r="CT20" i="17" l="1" a="1"/>
  <c r="CT20" i="17" s="1"/>
  <c r="BD19" i="17" a="1"/>
  <c r="BD19" i="17" s="1"/>
  <c r="CO20" i="17" a="1"/>
  <c r="CO20" i="17" s="1"/>
  <c r="CS20" i="17" a="1"/>
  <c r="CS20" i="17" s="1"/>
  <c r="R20" i="19" s="1"/>
  <c r="CN20" i="17" a="1"/>
  <c r="CN20" i="17" s="1"/>
  <c r="M20" i="19" s="1"/>
  <c r="CP20" i="17" a="1"/>
  <c r="CP20" i="17" s="1"/>
  <c r="O20" i="19" s="1"/>
  <c r="BC19" i="17"/>
  <c r="CR20" i="17" a="1"/>
  <c r="CR20" i="17" s="1"/>
  <c r="Q20" i="19" s="1"/>
  <c r="BP19" i="17"/>
  <c r="N20" i="19" l="1"/>
  <c r="S20" i="19"/>
  <c r="CS19" i="17" a="1"/>
  <c r="CS19" i="17" s="1"/>
  <c r="R19" i="19" s="1"/>
  <c r="CP19" i="17" a="1"/>
  <c r="CP19" i="17" s="1"/>
  <c r="O19" i="19" s="1"/>
  <c r="CT19" i="17" a="1"/>
  <c r="CT19" i="17" s="1"/>
  <c r="S19" i="19" s="1"/>
  <c r="CR19" i="17" a="1"/>
  <c r="CR19" i="17" s="1"/>
  <c r="Q19" i="19" s="1"/>
  <c r="CN19" i="17" a="1"/>
  <c r="CN19" i="17" s="1"/>
  <c r="M19" i="19" s="1"/>
  <c r="DA20" i="17"/>
  <c r="DF19" i="16" a="1"/>
  <c r="DF19" i="16" s="1"/>
  <c r="DW19" i="16" s="1"/>
  <c r="CW20" i="17"/>
  <c r="CO19" i="17" a="1"/>
  <c r="CO19" i="17" s="1"/>
  <c r="N19" i="19" s="1"/>
  <c r="W27" i="18" l="1"/>
  <c r="X20" i="19"/>
  <c r="DG19" i="16" a="1"/>
  <c r="DG19" i="16" s="1"/>
  <c r="DX19" i="16" s="1"/>
  <c r="CU19" i="16" a="1"/>
  <c r="CU19" i="16" s="1"/>
  <c r="CW19" i="16" a="1"/>
  <c r="CW19" i="16" s="1"/>
  <c r="CZ19" i="16" a="1"/>
  <c r="CZ19" i="16" s="1"/>
  <c r="DH19" i="16" a="1"/>
  <c r="DH19" i="16" s="1"/>
  <c r="DD19" i="16" a="1"/>
  <c r="DD19" i="16" s="1"/>
  <c r="DU19" i="16" s="1"/>
  <c r="DB19" i="16" a="1"/>
  <c r="DB19" i="16" s="1"/>
  <c r="CW23" i="16" a="1"/>
  <c r="CW23" i="16" s="1"/>
  <c r="CX24" i="16" a="1"/>
  <c r="CX24" i="16" s="1"/>
  <c r="DA19" i="17"/>
  <c r="CU20" i="16" a="1"/>
  <c r="CU20" i="16" s="1"/>
  <c r="CT27" i="16" a="1"/>
  <c r="CT27" i="16" s="1"/>
  <c r="D14" i="19" s="1"/>
  <c r="CV19" i="16" a="1"/>
  <c r="CV19" i="16" s="1"/>
  <c r="DC19" i="16" a="1"/>
  <c r="DC19" i="16" s="1"/>
  <c r="DT19" i="16" s="1"/>
  <c r="CS19" i="16" a="1"/>
  <c r="CS19" i="16" s="1"/>
  <c r="CY19" i="16" a="1"/>
  <c r="CY19" i="16" s="1"/>
  <c r="CX19" i="16" a="1"/>
  <c r="CX19" i="16" s="1"/>
  <c r="CU26" i="16" a="1"/>
  <c r="CU26" i="16" s="1"/>
  <c r="CV25" i="16" a="1"/>
  <c r="CV25" i="16" s="1"/>
  <c r="CW19" i="17"/>
  <c r="X19" i="19" s="1"/>
  <c r="DE19" i="16" a="1"/>
  <c r="DE19" i="16" s="1"/>
  <c r="CT19" i="16" a="1"/>
  <c r="CT19" i="16" s="1"/>
  <c r="CZ21" i="16" a="1"/>
  <c r="CZ21" i="16" s="1"/>
  <c r="CU22" i="16" a="1"/>
  <c r="CU22" i="16" s="1"/>
  <c r="DI19" i="16" a="1"/>
  <c r="DI19" i="16" s="1"/>
  <c r="DO19" i="17" l="1" a="1"/>
  <c r="O27" i="18" a="1"/>
  <c r="DV19" i="16" a="1"/>
  <c r="DV19" i="16" s="1"/>
  <c r="DY19" i="16"/>
  <c r="CS27" i="16" a="1"/>
  <c r="CS27" i="16" s="1"/>
  <c r="C14" i="19" s="1"/>
  <c r="DC27" i="16" a="1"/>
  <c r="DC27" i="16" s="1"/>
  <c r="N14" i="19" s="1"/>
  <c r="D37" i="19" s="1" a="1"/>
  <c r="D37" i="19" s="1"/>
  <c r="D47" i="19" s="1"/>
  <c r="E15" i="18" s="1"/>
  <c r="DH27" i="16" a="1"/>
  <c r="DH27" i="16" s="1"/>
  <c r="R14" i="19" s="1"/>
  <c r="DI27" i="16" a="1"/>
  <c r="DI27" i="16" s="1"/>
  <c r="S14" i="19" s="1"/>
  <c r="DB27" i="16" a="1"/>
  <c r="DB27" i="16" s="1"/>
  <c r="M14" i="19" s="1"/>
  <c r="DE27" i="16" a="1"/>
  <c r="DE27" i="16" s="1"/>
  <c r="P14" i="19" s="1"/>
  <c r="CW27" i="16" a="1"/>
  <c r="CW27" i="16" s="1"/>
  <c r="G14" i="19" s="1"/>
  <c r="CV27" i="16" a="1"/>
  <c r="CV27" i="16" s="1"/>
  <c r="F14" i="19" s="1"/>
  <c r="DG27" i="16" a="1"/>
  <c r="DG27" i="16" s="1"/>
  <c r="CX27" i="16" a="1"/>
  <c r="CX27" i="16" s="1"/>
  <c r="DB20" i="16" a="1"/>
  <c r="DB20" i="16" s="1"/>
  <c r="M7" i="19" s="1"/>
  <c r="DB26" i="16" a="1"/>
  <c r="DB26" i="16" s="1"/>
  <c r="M13" i="19" s="1"/>
  <c r="DD20" i="16" a="1"/>
  <c r="DD20" i="16" s="1"/>
  <c r="DC23" i="16" a="1"/>
  <c r="DC23" i="16" s="1"/>
  <c r="N10" i="19" s="1"/>
  <c r="D33" i="19" s="1"/>
  <c r="D43" i="19" s="1"/>
  <c r="E11" i="18" s="1"/>
  <c r="CS26" i="16" a="1"/>
  <c r="CS26" i="16" s="1"/>
  <c r="CS23" i="16" a="1"/>
  <c r="CS23" i="16" s="1"/>
  <c r="DI26" i="16" a="1"/>
  <c r="DI26" i="16" s="1"/>
  <c r="DD26" i="16" a="1"/>
  <c r="DD26" i="16" s="1"/>
  <c r="DU26" i="16" s="1"/>
  <c r="DF27" i="16" a="1"/>
  <c r="DF27" i="16" s="1"/>
  <c r="CU27" i="16" a="1"/>
  <c r="CU27" i="16" s="1"/>
  <c r="E14" i="19" s="1"/>
  <c r="CS20" i="16" a="1"/>
  <c r="CS20" i="16" s="1"/>
  <c r="C6" i="19" s="1"/>
  <c r="DF23" i="16" a="1"/>
  <c r="DF23" i="16" s="1"/>
  <c r="DZ19" i="16"/>
  <c r="DH25" i="16" a="1"/>
  <c r="DH25" i="16" s="1"/>
  <c r="DI23" i="16" a="1"/>
  <c r="DI23" i="16" s="1"/>
  <c r="DG23" i="16" a="1"/>
  <c r="DG23" i="16" s="1"/>
  <c r="DX23" i="16" s="1"/>
  <c r="CX23" i="16" a="1"/>
  <c r="CX23" i="16" s="1"/>
  <c r="DI25" i="16" a="1"/>
  <c r="DI25" i="16" s="1"/>
  <c r="S12" i="19" s="1"/>
  <c r="DF26" i="16" a="1"/>
  <c r="DF26" i="16" s="1"/>
  <c r="Q13" i="19" s="1"/>
  <c r="CW26" i="16" a="1"/>
  <c r="CW26" i="16" s="1"/>
  <c r="DF20" i="16" a="1"/>
  <c r="DF20" i="16" s="1"/>
  <c r="Q6" i="19" s="1"/>
  <c r="DD24" i="16" a="1"/>
  <c r="DD24" i="16" s="1"/>
  <c r="DD23" i="16" a="1"/>
  <c r="DD23" i="16" s="1"/>
  <c r="DE23" i="16" a="1"/>
  <c r="DE23" i="16" s="1"/>
  <c r="CZ23" i="16" a="1"/>
  <c r="CZ23" i="16" s="1"/>
  <c r="DB22" i="16" a="1"/>
  <c r="DB22" i="16" s="1"/>
  <c r="M9" i="19" s="1"/>
  <c r="CU25" i="16" a="1"/>
  <c r="CU25" i="16" s="1"/>
  <c r="E12" i="19" s="1"/>
  <c r="DG26" i="16" a="1"/>
  <c r="DG26" i="16" s="1"/>
  <c r="DX26" i="16" s="1"/>
  <c r="CZ26" i="16" a="1"/>
  <c r="CZ26" i="16" s="1"/>
  <c r="DB23" i="16" a="1"/>
  <c r="DB23" i="16" s="1"/>
  <c r="DS23" i="16" s="1"/>
  <c r="DH23" i="16" a="1"/>
  <c r="DH23" i="16" s="1"/>
  <c r="CV23" i="16" a="1"/>
  <c r="CV23" i="16" s="1"/>
  <c r="DC21" i="16" a="1"/>
  <c r="DC21" i="16" s="1"/>
  <c r="DT21" i="16" s="1"/>
  <c r="DC24" i="16" a="1"/>
  <c r="DC24" i="16" s="1"/>
  <c r="DT24" i="16" s="1"/>
  <c r="CW20" i="16" a="1"/>
  <c r="CW20" i="16" s="1"/>
  <c r="G6" i="19" s="1"/>
  <c r="CY23" i="16" a="1"/>
  <c r="CY23" i="16" s="1"/>
  <c r="DB21" i="16" a="1"/>
  <c r="DB21" i="16" s="1"/>
  <c r="DD21" i="16" a="1"/>
  <c r="DD21" i="16" s="1"/>
  <c r="DF21" i="16" a="1"/>
  <c r="DF21" i="16" s="1"/>
  <c r="DW21" i="16" s="1"/>
  <c r="DB24" i="16" a="1"/>
  <c r="DB24" i="16" s="1"/>
  <c r="CT23" i="16" a="1"/>
  <c r="CT23" i="16" s="1"/>
  <c r="DI21" i="16" a="1"/>
  <c r="DI21" i="16" s="1"/>
  <c r="DE21" i="16" a="1"/>
  <c r="DE21" i="16" s="1"/>
  <c r="DG21" i="16" a="1"/>
  <c r="DG21" i="16" s="1"/>
  <c r="DX21" i="16" s="1"/>
  <c r="DC25" i="16" a="1"/>
  <c r="DC25" i="16" s="1"/>
  <c r="CY26" i="16" a="1"/>
  <c r="CY26" i="16" s="1"/>
  <c r="DH21" i="16" a="1"/>
  <c r="DH21" i="16" s="1"/>
  <c r="CS21" i="16" a="1"/>
  <c r="CS21" i="16" s="1"/>
  <c r="C8" i="19" s="1"/>
  <c r="CT21" i="16" a="1"/>
  <c r="CT21" i="16" s="1"/>
  <c r="CU21" i="16" a="1"/>
  <c r="CU21" i="16" s="1"/>
  <c r="DI20" i="16" a="1"/>
  <c r="DI20" i="16" s="1"/>
  <c r="S6" i="19" s="1"/>
  <c r="DE20" i="16" a="1"/>
  <c r="DE20" i="16" s="1"/>
  <c r="CS22" i="16" a="1"/>
  <c r="CS22" i="16" s="1"/>
  <c r="C9" i="19" s="1"/>
  <c r="CZ22" i="16" a="1"/>
  <c r="CZ22" i="16" s="1"/>
  <c r="I8" i="19" s="1"/>
  <c r="CX21" i="16" a="1"/>
  <c r="CX21" i="16" s="1"/>
  <c r="CX20" i="16" a="1"/>
  <c r="CX20" i="16" s="1"/>
  <c r="DC20" i="16" a="1"/>
  <c r="DC20" i="16" s="1"/>
  <c r="DT20" i="16" s="1"/>
  <c r="CT24" i="16" a="1"/>
  <c r="CT24" i="16" s="1"/>
  <c r="CU23" i="16" a="1"/>
  <c r="CU23" i="16" s="1"/>
  <c r="CY21" i="16" a="1"/>
  <c r="CY21" i="16" s="1"/>
  <c r="CV20" i="16" a="1"/>
  <c r="CV20" i="16" s="1"/>
  <c r="DH22" i="16" a="1"/>
  <c r="DH22" i="16" s="1"/>
  <c r="E6" i="19"/>
  <c r="CW22" i="16" a="1"/>
  <c r="CW22" i="16" s="1"/>
  <c r="G9" i="19" s="1"/>
  <c r="DR19" i="17"/>
  <c r="S13" i="19"/>
  <c r="G13" i="19"/>
  <c r="DD22" i="16" a="1"/>
  <c r="DD22" i="16" s="1"/>
  <c r="CT22" i="16" a="1"/>
  <c r="CT22" i="16" s="1"/>
  <c r="D9" i="19" s="1"/>
  <c r="DC22" i="16" a="1"/>
  <c r="DC22" i="16" s="1"/>
  <c r="N9" i="19" s="1"/>
  <c r="D32" i="19" s="1"/>
  <c r="D42" i="19" s="1"/>
  <c r="E10" i="18" s="1"/>
  <c r="DG22" i="16" a="1"/>
  <c r="DG22" i="16" s="1"/>
  <c r="CV22" i="16" a="1"/>
  <c r="CV22" i="16" s="1"/>
  <c r="CY22" i="16" a="1"/>
  <c r="CY22" i="16" s="1"/>
  <c r="H9" i="19" s="1"/>
  <c r="CW21" i="16" a="1"/>
  <c r="CW21" i="16" s="1"/>
  <c r="CV21" i="16" a="1"/>
  <c r="CV21" i="16" s="1"/>
  <c r="DB25" i="16" a="1"/>
  <c r="DB25" i="16" s="1"/>
  <c r="M12" i="19" s="1"/>
  <c r="DF25" i="16" a="1"/>
  <c r="DF25" i="16" s="1"/>
  <c r="Q12" i="19" s="1"/>
  <c r="CT25" i="16" a="1"/>
  <c r="CT25" i="16" s="1"/>
  <c r="CY25" i="16" a="1"/>
  <c r="CY25" i="16" s="1"/>
  <c r="DH26" i="16" a="1"/>
  <c r="DH26" i="16" s="1"/>
  <c r="R13" i="19" s="1"/>
  <c r="DE26" i="16" a="1"/>
  <c r="DE26" i="16" s="1"/>
  <c r="P13" i="19" s="1"/>
  <c r="CX26" i="16" a="1"/>
  <c r="CX26" i="16" s="1"/>
  <c r="CT26" i="16" a="1"/>
  <c r="CT26" i="16" s="1"/>
  <c r="D13" i="19" s="1"/>
  <c r="CV26" i="16" a="1"/>
  <c r="CV26" i="16" s="1"/>
  <c r="F13" i="19" s="1"/>
  <c r="DP19" i="16"/>
  <c r="DX27" i="16"/>
  <c r="DD27" i="16" a="1"/>
  <c r="DD27" i="16" s="1"/>
  <c r="CY27" i="16" a="1"/>
  <c r="CY27" i="16" s="1"/>
  <c r="CZ27" i="16" a="1"/>
  <c r="CZ27" i="16" s="1"/>
  <c r="I14" i="19" s="1"/>
  <c r="DG20" i="16" a="1"/>
  <c r="DG20" i="16" s="1"/>
  <c r="DH20" i="16" a="1"/>
  <c r="DH20" i="16" s="1"/>
  <c r="CY20" i="16" a="1"/>
  <c r="CY20" i="16" s="1"/>
  <c r="CT20" i="16" a="1"/>
  <c r="CT20" i="16" s="1"/>
  <c r="DG24" i="16" a="1"/>
  <c r="DG24" i="16" s="1"/>
  <c r="DH24" i="16" a="1"/>
  <c r="DH24" i="16" s="1"/>
  <c r="R11" i="19" s="1"/>
  <c r="DE24" i="16" a="1"/>
  <c r="DE24" i="16" s="1"/>
  <c r="CY24" i="16" a="1"/>
  <c r="CY24" i="16" s="1"/>
  <c r="DT23" i="16"/>
  <c r="DW23" i="16"/>
  <c r="DE22" i="16" a="1"/>
  <c r="DE22" i="16" s="1"/>
  <c r="P9" i="19" s="1"/>
  <c r="DF22" i="16" a="1"/>
  <c r="DF22" i="16" s="1"/>
  <c r="Q9" i="19" s="1"/>
  <c r="DI22" i="16" a="1"/>
  <c r="DI22" i="16" s="1"/>
  <c r="S9" i="19" s="1"/>
  <c r="CX22" i="16" a="1"/>
  <c r="CX22" i="16" s="1"/>
  <c r="CS25" i="16" a="1"/>
  <c r="CS25" i="16" s="1"/>
  <c r="C12" i="19" s="1"/>
  <c r="DG25" i="16" a="1"/>
  <c r="DG25" i="16" s="1"/>
  <c r="CX25" i="16" a="1"/>
  <c r="CX25" i="16" s="1"/>
  <c r="CW25" i="16" a="1"/>
  <c r="CW25" i="16" s="1"/>
  <c r="G12" i="19" s="1"/>
  <c r="DK19" i="16"/>
  <c r="C13" i="19"/>
  <c r="E13" i="19"/>
  <c r="O6" i="19"/>
  <c r="CW24" i="16" a="1"/>
  <c r="CW24" i="16" s="1"/>
  <c r="DF24" i="16" a="1"/>
  <c r="DF24" i="16" s="1"/>
  <c r="CZ24" i="16" a="1"/>
  <c r="CZ24" i="16" s="1"/>
  <c r="CU24" i="16" a="1"/>
  <c r="CU24" i="16" s="1"/>
  <c r="DS19" i="16"/>
  <c r="DL19" i="16"/>
  <c r="O7" i="19"/>
  <c r="DE25" i="16" a="1"/>
  <c r="DE25" i="16" s="1"/>
  <c r="DD25" i="16" a="1"/>
  <c r="DD25" i="16" s="1"/>
  <c r="CZ25" i="16" a="1"/>
  <c r="CZ25" i="16" s="1"/>
  <c r="I12" i="19" s="1"/>
  <c r="DW26" i="16"/>
  <c r="DC26" i="16" a="1"/>
  <c r="DC26" i="16" s="1"/>
  <c r="N13" i="19" s="1"/>
  <c r="D36" i="19" s="1"/>
  <c r="D46" i="19" s="1"/>
  <c r="E14" i="18" s="1"/>
  <c r="DS27" i="16"/>
  <c r="M6" i="19"/>
  <c r="CZ20" i="16" a="1"/>
  <c r="CZ20" i="16" s="1"/>
  <c r="I7" i="19" s="1"/>
  <c r="CS24" i="16" a="1"/>
  <c r="CS24" i="16" s="1"/>
  <c r="DI24" i="16" a="1"/>
  <c r="DI24" i="16" s="1"/>
  <c r="CV24" i="16" a="1"/>
  <c r="CV24" i="16" s="1"/>
  <c r="F11" i="19" s="1"/>
  <c r="DO19" i="16"/>
  <c r="DV27" i="16" l="1"/>
  <c r="F25" i="18" s="1"/>
  <c r="DV23" i="16"/>
  <c r="N11" i="19"/>
  <c r="D34" i="19" s="1"/>
  <c r="D44" i="19" s="1"/>
  <c r="E12" i="18" s="1"/>
  <c r="DL27" i="16"/>
  <c r="X14" i="19" s="1"/>
  <c r="DS26" i="16"/>
  <c r="D24" i="18" s="1"/>
  <c r="DS20" i="16"/>
  <c r="DU24" i="16"/>
  <c r="DT27" i="16"/>
  <c r="E25" i="18" s="1"/>
  <c r="DS22" i="16"/>
  <c r="D20" i="18" s="1"/>
  <c r="DU20" i="16"/>
  <c r="DZ23" i="16"/>
  <c r="DY25" i="16"/>
  <c r="DR27" i="17"/>
  <c r="DP23" i="16"/>
  <c r="S7" i="19"/>
  <c r="I9" i="19"/>
  <c r="O9" i="19"/>
  <c r="R8" i="19"/>
  <c r="DZ21" i="16"/>
  <c r="DW20" i="16"/>
  <c r="G18" i="18" s="1"/>
  <c r="F37" i="19" a="1"/>
  <c r="F37" i="19" s="1"/>
  <c r="F47" i="19" s="1"/>
  <c r="F15" i="18" s="1"/>
  <c r="M10" i="19"/>
  <c r="O10" i="19"/>
  <c r="E18" i="18"/>
  <c r="DU23" i="16"/>
  <c r="D10" i="19"/>
  <c r="M8" i="19"/>
  <c r="D25" i="18"/>
  <c r="DY27" i="16"/>
  <c r="H14" i="19"/>
  <c r="E21" i="18"/>
  <c r="N7" i="19"/>
  <c r="S11" i="19"/>
  <c r="O14" i="19"/>
  <c r="E8" i="19"/>
  <c r="R7" i="19"/>
  <c r="P7" i="19"/>
  <c r="DW27" i="16"/>
  <c r="Q14" i="19"/>
  <c r="O12" i="19"/>
  <c r="E11" i="19"/>
  <c r="H12" i="19"/>
  <c r="R9" i="19"/>
  <c r="N6" i="19"/>
  <c r="DL23" i="16"/>
  <c r="DY23" i="16"/>
  <c r="E9" i="19"/>
  <c r="Q7" i="19"/>
  <c r="DP26" i="16"/>
  <c r="DO23" i="16"/>
  <c r="DU21" i="16"/>
  <c r="DP21" i="16"/>
  <c r="DL21" i="16"/>
  <c r="DZ26" i="16"/>
  <c r="DS21" i="16"/>
  <c r="DP20" i="16"/>
  <c r="DS24" i="16"/>
  <c r="D21" i="18" s="1"/>
  <c r="DR23" i="17"/>
  <c r="F9" i="19"/>
  <c r="F32" i="19" s="1"/>
  <c r="F42" i="19" s="1"/>
  <c r="F10" i="18" s="1"/>
  <c r="DY21" i="16"/>
  <c r="E7" i="19"/>
  <c r="F36" i="19"/>
  <c r="F46" i="19" s="1"/>
  <c r="F14" i="18" s="1"/>
  <c r="DK27" i="16"/>
  <c r="DV20" i="16"/>
  <c r="DK26" i="16"/>
  <c r="H7" i="19"/>
  <c r="C7" i="19"/>
  <c r="DV21" i="16"/>
  <c r="P6" i="19"/>
  <c r="DR20" i="17"/>
  <c r="DL22" i="16"/>
  <c r="DK23" i="16"/>
  <c r="DO27" i="16"/>
  <c r="DL20" i="16"/>
  <c r="X6" i="19" s="1"/>
  <c r="DK22" i="16"/>
  <c r="DT25" i="16"/>
  <c r="E22" i="18" s="1"/>
  <c r="D7" i="19"/>
  <c r="F6" i="19"/>
  <c r="DP24" i="16"/>
  <c r="DO22" i="16"/>
  <c r="DZ24" i="16"/>
  <c r="S10" i="19"/>
  <c r="I6" i="19"/>
  <c r="DZ20" i="16"/>
  <c r="I18" i="18" s="1"/>
  <c r="I11" i="19"/>
  <c r="DO24" i="16"/>
  <c r="E10" i="19"/>
  <c r="DX25" i="16"/>
  <c r="S8" i="19"/>
  <c r="DZ22" i="16"/>
  <c r="DV22" i="16"/>
  <c r="P8" i="19"/>
  <c r="DX24" i="16"/>
  <c r="DX20" i="16"/>
  <c r="DR26" i="17"/>
  <c r="F12" i="19"/>
  <c r="DY26" i="16"/>
  <c r="R12" i="19"/>
  <c r="DS25" i="16"/>
  <c r="M11" i="19"/>
  <c r="DL25" i="16"/>
  <c r="H8" i="19"/>
  <c r="DY22" i="16"/>
  <c r="DZ25" i="16"/>
  <c r="F10" i="19"/>
  <c r="DR24" i="17"/>
  <c r="DU25" i="16"/>
  <c r="DP25" i="16"/>
  <c r="O11" i="19"/>
  <c r="I10" i="19"/>
  <c r="C11" i="19"/>
  <c r="DK25" i="16"/>
  <c r="DW22" i="16"/>
  <c r="G19" i="18" s="1"/>
  <c r="Q8" i="19"/>
  <c r="H10" i="19"/>
  <c r="D6" i="19"/>
  <c r="I13" i="19"/>
  <c r="D12" i="19"/>
  <c r="H11" i="19"/>
  <c r="DR21" i="17"/>
  <c r="F7" i="19"/>
  <c r="F8" i="19"/>
  <c r="DR22" i="17"/>
  <c r="DL24" i="16"/>
  <c r="DV25" i="16"/>
  <c r="P11" i="19"/>
  <c r="F34" i="19" s="1"/>
  <c r="F44" i="19" s="1"/>
  <c r="F12" i="18" s="1"/>
  <c r="EC19" i="16"/>
  <c r="DM19" i="16"/>
  <c r="DW24" i="16"/>
  <c r="G21" i="18" s="1"/>
  <c r="Q10" i="19"/>
  <c r="G11" i="19"/>
  <c r="P10" i="19"/>
  <c r="DV24" i="16"/>
  <c r="F21" i="18" s="1"/>
  <c r="H6" i="19"/>
  <c r="H13" i="19"/>
  <c r="D11" i="19"/>
  <c r="G7" i="19"/>
  <c r="DX22" i="16"/>
  <c r="D8" i="19"/>
  <c r="DK20" i="16"/>
  <c r="W6" i="19" s="1"/>
  <c r="G8" i="19"/>
  <c r="DO20" i="16"/>
  <c r="C10" i="19"/>
  <c r="DK24" i="16"/>
  <c r="DT26" i="16"/>
  <c r="N12" i="19"/>
  <c r="G10" i="19"/>
  <c r="DL26" i="16"/>
  <c r="X13" i="19" s="1"/>
  <c r="R10" i="19"/>
  <c r="DY24" i="16"/>
  <c r="DY20" i="16"/>
  <c r="R6" i="19"/>
  <c r="DU27" i="16"/>
  <c r="DP27" i="16"/>
  <c r="O13" i="19"/>
  <c r="DQ19" i="16"/>
  <c r="P12" i="19"/>
  <c r="DV26" i="16"/>
  <c r="DW25" i="16"/>
  <c r="Q11" i="19"/>
  <c r="DK21" i="16"/>
  <c r="DT22" i="16"/>
  <c r="E19" i="18" s="1"/>
  <c r="N8" i="19"/>
  <c r="DU22" i="16"/>
  <c r="DP22" i="16"/>
  <c r="O8" i="19"/>
  <c r="DZ27" i="16"/>
  <c r="DO25" i="16"/>
  <c r="DO21" i="16"/>
  <c r="DO26" i="16"/>
  <c r="DR25" i="17"/>
  <c r="EC27" i="16" l="1"/>
  <c r="H23" i="18"/>
  <c r="D18" i="18"/>
  <c r="I21" i="18"/>
  <c r="G22" i="18"/>
  <c r="DQ23" i="16"/>
  <c r="F30" i="19" a="1"/>
  <c r="F30" i="19" s="1"/>
  <c r="F40" i="19" s="1"/>
  <c r="F8" i="18" s="1"/>
  <c r="D22" i="18"/>
  <c r="E23" i="18"/>
  <c r="I19" i="18"/>
  <c r="DM23" i="16"/>
  <c r="X8" i="19"/>
  <c r="W10" i="19"/>
  <c r="F19" i="18"/>
  <c r="H19" i="18"/>
  <c r="I22" i="18"/>
  <c r="F23" i="18"/>
  <c r="W7" i="19"/>
  <c r="H21" i="18"/>
  <c r="F18" i="18"/>
  <c r="W11" i="19"/>
  <c r="W8" i="19"/>
  <c r="W13" i="19"/>
  <c r="W14" i="19"/>
  <c r="H22" i="18"/>
  <c r="D19" i="18"/>
  <c r="E24" i="18"/>
  <c r="D23" i="18"/>
  <c r="L25" i="18"/>
  <c r="F22" i="18"/>
  <c r="W9" i="19"/>
  <c r="W12" i="19"/>
  <c r="X7" i="19"/>
  <c r="F20" i="18"/>
  <c r="H24" i="18"/>
  <c r="H25" i="18"/>
  <c r="I20" i="18"/>
  <c r="H20" i="18"/>
  <c r="G20" i="18"/>
  <c r="E20" i="18"/>
  <c r="G23" i="18"/>
  <c r="F24" i="18"/>
  <c r="I24" i="18"/>
  <c r="I25" i="18"/>
  <c r="H18" i="18"/>
  <c r="I23" i="18"/>
  <c r="X9" i="19"/>
  <c r="G24" i="18"/>
  <c r="G25" i="18"/>
  <c r="DQ20" i="16"/>
  <c r="DQ26" i="16"/>
  <c r="EC23" i="16"/>
  <c r="DM27" i="16"/>
  <c r="F35" i="19"/>
  <c r="F45" i="19" s="1"/>
  <c r="F13" i="18" s="1"/>
  <c r="DQ21" i="16"/>
  <c r="DQ27" i="16"/>
  <c r="AA6" i="19"/>
  <c r="EC22" i="16"/>
  <c r="DQ22" i="16"/>
  <c r="DM22" i="16"/>
  <c r="F31" i="19"/>
  <c r="F41" i="19" s="1"/>
  <c r="F9" i="18" s="1"/>
  <c r="F33" i="19"/>
  <c r="F43" i="19" s="1"/>
  <c r="F11" i="18" s="1"/>
  <c r="F29" i="19"/>
  <c r="F39" i="19" s="1"/>
  <c r="DQ24" i="16"/>
  <c r="DM21" i="16"/>
  <c r="EC20" i="16"/>
  <c r="DQ25" i="16"/>
  <c r="DM20" i="16"/>
  <c r="EC21" i="16"/>
  <c r="EC26" i="16"/>
  <c r="DM26" i="16"/>
  <c r="X12" i="19"/>
  <c r="EC25" i="16"/>
  <c r="X11" i="19"/>
  <c r="DM25" i="16"/>
  <c r="EC24" i="16"/>
  <c r="DM24" i="16"/>
  <c r="X10" i="19"/>
  <c r="AA7" i="19" l="1"/>
  <c r="AA8" i="19"/>
  <c r="L21" i="18"/>
  <c r="AA9" i="19"/>
  <c r="AA13" i="19"/>
  <c r="L22" i="18"/>
  <c r="L18" i="18"/>
  <c r="L20" i="18"/>
  <c r="L19" i="18"/>
  <c r="L23" i="18"/>
  <c r="L24" i="18"/>
  <c r="AA12" i="19"/>
  <c r="AA11" i="19"/>
  <c r="AA10" i="19"/>
  <c r="O34" i="18" a="1"/>
  <c r="E31" i="18"/>
  <c r="H111" i="18"/>
  <c r="H107" i="18"/>
  <c r="H97" i="18"/>
  <c r="H83" i="18"/>
  <c r="H89" i="18"/>
  <c r="E73" i="18"/>
  <c r="E67" i="18"/>
  <c r="E59" i="18"/>
  <c r="AR19" i="1"/>
  <c r="AU19" i="1" l="1"/>
  <c r="BI19" i="1" a="1"/>
  <c r="BI19" i="1" s="1"/>
  <c r="BI18" i="1" s="1"/>
  <c r="AT19" i="1"/>
  <c r="AT16" i="1" s="1"/>
  <c r="AU18" i="1" l="1"/>
  <c r="BC19" i="1"/>
  <c r="CL19" i="1" s="1" a="1"/>
  <c r="CL19" i="1" s="1"/>
  <c r="CH26" i="1" a="1"/>
  <c r="CH26" i="1" s="1"/>
  <c r="CH47" i="1" a="1"/>
  <c r="CH47" i="1" s="1"/>
  <c r="CH52" i="1" a="1"/>
  <c r="CH52" i="1" s="1"/>
  <c r="CH63" i="1" a="1"/>
  <c r="CH63" i="1" s="1"/>
  <c r="CH53" i="1" a="1"/>
  <c r="CH53" i="1" s="1"/>
  <c r="CH41" i="1" a="1"/>
  <c r="CH41" i="1" s="1"/>
  <c r="CH73" i="1" a="1"/>
  <c r="CH73" i="1" s="1"/>
  <c r="CH32" i="1" a="1"/>
  <c r="CH32" i="1" s="1"/>
  <c r="CH43" i="1" a="1"/>
  <c r="CH43" i="1" s="1"/>
  <c r="CH62" i="1" a="1"/>
  <c r="CH62" i="1" s="1"/>
  <c r="CH65" i="1" a="1"/>
  <c r="CH65" i="1" s="1"/>
  <c r="CH50" i="1" a="1"/>
  <c r="CH50" i="1" s="1"/>
  <c r="CH57" i="1" a="1"/>
  <c r="CH57" i="1" s="1"/>
  <c r="CH51" i="1" a="1"/>
  <c r="CH51" i="1" s="1"/>
  <c r="CH45" i="1" a="1"/>
  <c r="CH45" i="1" s="1"/>
  <c r="CH21" i="1" a="1"/>
  <c r="CH21" i="1" s="1"/>
  <c r="CL26" i="1" a="1"/>
  <c r="CL26" i="1" s="1"/>
  <c r="CH33" i="1" a="1"/>
  <c r="CH33" i="1" s="1"/>
  <c r="CH29" i="1" a="1"/>
  <c r="CH29" i="1" s="1"/>
  <c r="AT16" i="17"/>
  <c r="CI30" i="1" a="1"/>
  <c r="CI30" i="1" s="1"/>
  <c r="CH49" i="1" a="1"/>
  <c r="CH49" i="1" s="1"/>
  <c r="CH54" i="1" a="1"/>
  <c r="CH54" i="1" s="1"/>
  <c r="CH27" i="1" a="1"/>
  <c r="CH27" i="1" s="1"/>
  <c r="CH75" i="1" a="1"/>
  <c r="CH75" i="1" s="1"/>
  <c r="CH34" i="1" a="1"/>
  <c r="CH34" i="1" s="1"/>
  <c r="CL72" i="1" a="1"/>
  <c r="CL72" i="1" s="1"/>
  <c r="CH76" i="1" a="1"/>
  <c r="CH76" i="1" s="1"/>
  <c r="CH35" i="1" a="1"/>
  <c r="CH35" i="1" s="1"/>
  <c r="CH40" i="1" a="1"/>
  <c r="CH40" i="1" s="1"/>
  <c r="CH56" i="1" a="1"/>
  <c r="CH56" i="1" s="1"/>
  <c r="CL76" i="1" a="1"/>
  <c r="CL76" i="1" s="1"/>
  <c r="CL69" i="1" a="1"/>
  <c r="CL69" i="1" s="1"/>
  <c r="CH60" i="1" a="1"/>
  <c r="CH60" i="1" s="1"/>
  <c r="CH46" i="1" a="1"/>
  <c r="CH46" i="1" s="1"/>
  <c r="CH67" i="1" a="1"/>
  <c r="CH67" i="1" s="1"/>
  <c r="CH48" i="1" a="1"/>
  <c r="CH48" i="1" s="1"/>
  <c r="CH28" i="1" a="1"/>
  <c r="CH28" i="1" s="1"/>
  <c r="CL63" i="1" a="1"/>
  <c r="CL63" i="1" s="1"/>
  <c r="DJ63" i="1" s="1"/>
  <c r="H101" i="18" s="1"/>
  <c r="CL42" i="1" a="1"/>
  <c r="CL42" i="1" s="1"/>
  <c r="CH42" i="1" a="1"/>
  <c r="CH42" i="1" s="1"/>
  <c r="CH55" i="1" a="1"/>
  <c r="CH55" i="1" s="1"/>
  <c r="CH68" i="1" a="1"/>
  <c r="CH68" i="1" s="1"/>
  <c r="CH39" i="1" a="1"/>
  <c r="CH39" i="1" s="1"/>
  <c r="CH58" i="1" a="1"/>
  <c r="CH58" i="1" s="1"/>
  <c r="CH64" i="1" a="1"/>
  <c r="CH64" i="1" s="1"/>
  <c r="CI33" i="1" a="1"/>
  <c r="CI33" i="1" s="1"/>
  <c r="CI20" i="1" a="1"/>
  <c r="CI20" i="1" s="1"/>
  <c r="CK33" i="1" a="1"/>
  <c r="CK33" i="1" s="1"/>
  <c r="DI33" i="1" s="1"/>
  <c r="G71" i="18" s="1"/>
  <c r="CH66" i="1" a="1"/>
  <c r="CH66" i="1" s="1"/>
  <c r="CL59" i="1" a="1"/>
  <c r="CL59" i="1" s="1"/>
  <c r="CL43" i="1" a="1"/>
  <c r="CL43" i="1" s="1"/>
  <c r="CH69" i="1" a="1"/>
  <c r="CH69" i="1" s="1"/>
  <c r="CH24" i="1" a="1"/>
  <c r="CH24" i="1" s="1"/>
  <c r="CH70" i="1" a="1"/>
  <c r="CH70" i="1" s="1"/>
  <c r="CH59" i="1" a="1"/>
  <c r="CH59" i="1" s="1"/>
  <c r="CL73" i="1" a="1"/>
  <c r="CL73" i="1" s="1"/>
  <c r="CL51" i="1" a="1"/>
  <c r="CL51" i="1" s="1"/>
  <c r="CH61" i="1" a="1"/>
  <c r="CH61" i="1" s="1"/>
  <c r="CL45" i="1" a="1"/>
  <c r="CL45" i="1" s="1"/>
  <c r="CH44" i="1" a="1"/>
  <c r="CH44" i="1" s="1"/>
  <c r="CH72" i="1" a="1"/>
  <c r="CH72" i="1" s="1"/>
  <c r="CH74" i="1" a="1"/>
  <c r="CH74" i="1" s="1"/>
  <c r="CI32" i="1" a="1"/>
  <c r="CI32" i="1" s="1"/>
  <c r="CI72" i="1" a="1"/>
  <c r="CI72" i="1" s="1"/>
  <c r="CG40" i="1" a="1"/>
  <c r="CG40" i="1" s="1"/>
  <c r="CL74" i="1" a="1"/>
  <c r="CL74" i="1" s="1"/>
  <c r="DJ74" i="1" s="1"/>
  <c r="H112" i="18" s="1"/>
  <c r="CG35" i="1" a="1"/>
  <c r="CG35" i="1" s="1"/>
  <c r="CM26" i="1" a="1"/>
  <c r="CM26" i="1" s="1"/>
  <c r="DK26" i="1" s="1"/>
  <c r="I64" i="18" s="1"/>
  <c r="CG55" i="1" a="1"/>
  <c r="CG55" i="1" s="1"/>
  <c r="CK44" i="1" a="1"/>
  <c r="CK44" i="1" s="1"/>
  <c r="DI44" i="1" s="1"/>
  <c r="G82" i="18" s="1"/>
  <c r="CM25" i="1" a="1"/>
  <c r="CM25" i="1" s="1"/>
  <c r="DK25" i="1" s="1"/>
  <c r="I63" i="18" s="1"/>
  <c r="CI36" i="1" a="1"/>
  <c r="CI36" i="1" s="1"/>
  <c r="CI40" i="1" a="1"/>
  <c r="CI40" i="1" s="1"/>
  <c r="CI55" i="1" a="1"/>
  <c r="CI55" i="1" s="1"/>
  <c r="CI54" i="1" a="1"/>
  <c r="CI54" i="1" s="1"/>
  <c r="CI29" i="1" a="1"/>
  <c r="CI29" i="1" s="1"/>
  <c r="CG62" i="1" a="1"/>
  <c r="CG62" i="1" s="1"/>
  <c r="CI47" i="1" a="1"/>
  <c r="CI47" i="1" s="1"/>
  <c r="CL54" i="1" a="1"/>
  <c r="CL54" i="1" s="1"/>
  <c r="DJ54" i="1" s="1"/>
  <c r="H92" i="18" s="1"/>
  <c r="CI21" i="1" a="1"/>
  <c r="CI21" i="1" s="1"/>
  <c r="CI68" i="1" a="1"/>
  <c r="CI68" i="1" s="1"/>
  <c r="CI23" i="1" a="1"/>
  <c r="CI23" i="1" s="1"/>
  <c r="CI31" i="1" a="1"/>
  <c r="CI31" i="1" s="1"/>
  <c r="CM47" i="1" a="1"/>
  <c r="CM47" i="1" s="1"/>
  <c r="DK47" i="1" s="1"/>
  <c r="I85" i="18" s="1"/>
  <c r="CM44" i="1" a="1"/>
  <c r="CM44" i="1" s="1"/>
  <c r="DK44" i="1" s="1"/>
  <c r="I82" i="18" s="1"/>
  <c r="CI50" i="1" a="1"/>
  <c r="CI50" i="1" s="1"/>
  <c r="CH37" i="1" a="1"/>
  <c r="CH37" i="1" s="1"/>
  <c r="DF37" i="1" s="1"/>
  <c r="E75" i="18" s="1"/>
  <c r="CI34" i="1" a="1"/>
  <c r="CI34" i="1" s="1"/>
  <c r="CK48" i="1" a="1"/>
  <c r="CK48" i="1" s="1"/>
  <c r="DI48" i="1" s="1"/>
  <c r="G86" i="18" s="1"/>
  <c r="CK27" i="1" a="1"/>
  <c r="CK27" i="1" s="1"/>
  <c r="DI27" i="1" s="1"/>
  <c r="G65" i="18" s="1"/>
  <c r="CK49" i="1" a="1"/>
  <c r="CK49" i="1" s="1"/>
  <c r="DI49" i="1" s="1"/>
  <c r="G87" i="18" s="1"/>
  <c r="CI22" i="1" a="1"/>
  <c r="CI22" i="1" s="1"/>
  <c r="CI35" i="1" a="1"/>
  <c r="CI35" i="1" s="1"/>
  <c r="CL47" i="1" a="1"/>
  <c r="CL47" i="1" s="1"/>
  <c r="DJ47" i="1" s="1"/>
  <c r="H85" i="18" s="1"/>
  <c r="CI76" i="1" a="1"/>
  <c r="CI76" i="1" s="1"/>
  <c r="CL60" i="1" a="1"/>
  <c r="CL60" i="1" s="1"/>
  <c r="DJ60" i="1" s="1"/>
  <c r="H98" i="18" s="1"/>
  <c r="CI70" i="1" a="1"/>
  <c r="CI70" i="1" s="1"/>
  <c r="CI63" i="1" a="1"/>
  <c r="CI63" i="1" s="1"/>
  <c r="CH31" i="1" a="1"/>
  <c r="CH31" i="1" s="1"/>
  <c r="DF31" i="1" s="1"/>
  <c r="E69" i="18" s="1"/>
  <c r="CG49" i="1" a="1"/>
  <c r="CG49" i="1" s="1"/>
  <c r="CI39" i="1" a="1"/>
  <c r="CI39" i="1" s="1"/>
  <c r="CM58" i="1" a="1"/>
  <c r="CM58" i="1" s="1"/>
  <c r="DK58" i="1" s="1"/>
  <c r="I96" i="18" s="1"/>
  <c r="CM41" i="1" a="1"/>
  <c r="CM41" i="1" s="1"/>
  <c r="DK41" i="1" s="1"/>
  <c r="I79" i="18" s="1"/>
  <c r="CI42" i="1" a="1"/>
  <c r="CI42" i="1" s="1"/>
  <c r="CH30" i="1" a="1"/>
  <c r="CH30" i="1" s="1"/>
  <c r="DF30" i="1" s="1"/>
  <c r="E68" i="18" s="1"/>
  <c r="CM74" i="1" a="1"/>
  <c r="CM74" i="1" s="1"/>
  <c r="DK74" i="1" s="1"/>
  <c r="I112" i="18" s="1"/>
  <c r="CM43" i="1" a="1"/>
  <c r="CM43" i="1" s="1"/>
  <c r="DK43" i="1" s="1"/>
  <c r="I81" i="18" s="1"/>
  <c r="CM67" i="1" a="1"/>
  <c r="CM67" i="1" s="1"/>
  <c r="DK67" i="1" s="1"/>
  <c r="I105" i="18" s="1"/>
  <c r="CG33" i="1" a="1"/>
  <c r="CG33" i="1" s="1"/>
  <c r="CI53" i="1" a="1"/>
  <c r="CI53" i="1" s="1"/>
  <c r="CG47" i="1" a="1"/>
  <c r="CG47" i="1" s="1"/>
  <c r="CK21" i="1" a="1"/>
  <c r="CK21" i="1" s="1"/>
  <c r="DI21" i="1" s="1"/>
  <c r="G59" i="18" s="1"/>
  <c r="CG60" i="1" a="1"/>
  <c r="CG60" i="1" s="1"/>
  <c r="CL48" i="1" a="1"/>
  <c r="CL48" i="1" s="1"/>
  <c r="DJ48" i="1" s="1"/>
  <c r="H86" i="18" s="1"/>
  <c r="CG52" i="1" a="1"/>
  <c r="CG52" i="1" s="1"/>
  <c r="CG48" i="1" a="1"/>
  <c r="CG48" i="1" s="1"/>
  <c r="CG73" i="1" a="1"/>
  <c r="CG73" i="1" s="1"/>
  <c r="CK60" i="1" a="1"/>
  <c r="CK60" i="1" s="1"/>
  <c r="DI60" i="1" s="1"/>
  <c r="G98" i="18" s="1"/>
  <c r="CI44" i="1" a="1"/>
  <c r="CI44" i="1" s="1"/>
  <c r="CL29" i="1" a="1"/>
  <c r="CL29" i="1" s="1"/>
  <c r="DJ29" i="1" s="1"/>
  <c r="H67" i="18" s="1"/>
  <c r="CK30" i="1" a="1"/>
  <c r="CK30" i="1" s="1"/>
  <c r="DI30" i="1" s="1"/>
  <c r="G68" i="18" s="1"/>
  <c r="CM20" i="1" a="1"/>
  <c r="CM20" i="1" s="1"/>
  <c r="DK20" i="1" s="1"/>
  <c r="I58" i="18" s="1"/>
  <c r="CG26" i="1" a="1"/>
  <c r="CG26" i="1" s="1"/>
  <c r="CG69" i="1" a="1"/>
  <c r="CG69" i="1" s="1"/>
  <c r="CI52" i="1" a="1"/>
  <c r="CI52" i="1" s="1"/>
  <c r="CM45" i="1" a="1"/>
  <c r="CM45" i="1" s="1"/>
  <c r="DK45" i="1" s="1"/>
  <c r="I83" i="18" s="1"/>
  <c r="CK61" i="1" a="1"/>
  <c r="CK61" i="1" s="1"/>
  <c r="DI61" i="1" s="1"/>
  <c r="G99" i="18" s="1"/>
  <c r="CG22" i="1" a="1"/>
  <c r="CG22" i="1" s="1"/>
  <c r="CG54" i="1" a="1"/>
  <c r="CG54" i="1" s="1"/>
  <c r="CI43" i="1" a="1"/>
  <c r="CI43" i="1" s="1"/>
  <c r="CG61" i="1" a="1"/>
  <c r="CG61" i="1" s="1"/>
  <c r="CL70" i="1" a="1"/>
  <c r="CL70" i="1" s="1"/>
  <c r="DJ70" i="1" s="1"/>
  <c r="H108" i="18" s="1"/>
  <c r="CM24" i="1" a="1"/>
  <c r="CM24" i="1" s="1"/>
  <c r="DK24" i="1" s="1"/>
  <c r="I62" i="18" s="1"/>
  <c r="CK62" i="1" a="1"/>
  <c r="CK62" i="1" s="1"/>
  <c r="DI62" i="1" s="1"/>
  <c r="G100" i="18" s="1"/>
  <c r="CK57" i="1" a="1"/>
  <c r="CK57" i="1" s="1"/>
  <c r="DI57" i="1" s="1"/>
  <c r="G95" i="18" s="1"/>
  <c r="CK42" i="1" a="1"/>
  <c r="CK42" i="1" s="1"/>
  <c r="DI42" i="1" s="1"/>
  <c r="G80" i="18" s="1"/>
  <c r="CG67" i="1" a="1"/>
  <c r="CG67" i="1" s="1"/>
  <c r="CK46" i="1" a="1"/>
  <c r="CK46" i="1" s="1"/>
  <c r="DI46" i="1" s="1"/>
  <c r="G84" i="18" s="1"/>
  <c r="CK41" i="1" a="1"/>
  <c r="CK41" i="1" s="1"/>
  <c r="DI41" i="1" s="1"/>
  <c r="G79" i="18" s="1"/>
  <c r="CM46" i="1" a="1"/>
  <c r="CM46" i="1" s="1"/>
  <c r="DK46" i="1" s="1"/>
  <c r="I84" i="18" s="1"/>
  <c r="CK67" i="1" a="1"/>
  <c r="CK67" i="1" s="1"/>
  <c r="DI67" i="1" s="1"/>
  <c r="G105" i="18" s="1"/>
  <c r="CM36" i="1" a="1"/>
  <c r="CM36" i="1" s="1"/>
  <c r="DK36" i="1" s="1"/>
  <c r="I74" i="18" s="1"/>
  <c r="CM59" i="1" a="1"/>
  <c r="CM59" i="1" s="1"/>
  <c r="DK59" i="1" s="1"/>
  <c r="I97" i="18" s="1"/>
  <c r="CM56" i="1" a="1"/>
  <c r="CM56" i="1" s="1"/>
  <c r="DK56" i="1" s="1"/>
  <c r="I94" i="18" s="1"/>
  <c r="CK66" i="1" a="1"/>
  <c r="CK66" i="1" s="1"/>
  <c r="DI66" i="1" s="1"/>
  <c r="G104" i="18" s="1"/>
  <c r="CM49" i="1" a="1"/>
  <c r="CM49" i="1" s="1"/>
  <c r="DK49" i="1" s="1"/>
  <c r="I87" i="18" s="1"/>
  <c r="CL21" i="1" a="1"/>
  <c r="CL21" i="1" s="1"/>
  <c r="DJ21" i="1" s="1"/>
  <c r="H59" i="18" s="1"/>
  <c r="CK73" i="1" a="1"/>
  <c r="CK73" i="1" s="1"/>
  <c r="DI73" i="1" s="1"/>
  <c r="G111" i="18" s="1"/>
  <c r="CG41" i="1" a="1"/>
  <c r="CG41" i="1" s="1"/>
  <c r="CM54" i="1" a="1"/>
  <c r="CM54" i="1" s="1"/>
  <c r="DK54" i="1" s="1"/>
  <c r="I92" i="18" s="1"/>
  <c r="CI27" i="1" a="1"/>
  <c r="CI27" i="1" s="1"/>
  <c r="CH38" i="1" a="1"/>
  <c r="CH38" i="1" s="1"/>
  <c r="DF38" i="1" s="1"/>
  <c r="E76" i="18" s="1"/>
  <c r="CI25" i="1" a="1"/>
  <c r="CI25" i="1" s="1"/>
  <c r="CG43" i="1" a="1"/>
  <c r="CG43" i="1" s="1"/>
  <c r="CK43" i="1" a="1"/>
  <c r="CK43" i="1" s="1"/>
  <c r="DI43" i="1" s="1"/>
  <c r="G81" i="18" s="1"/>
  <c r="CI62" i="1" a="1"/>
  <c r="CI62" i="1" s="1"/>
  <c r="CI64" i="1" a="1"/>
  <c r="CI64" i="1" s="1"/>
  <c r="CM75" i="1" a="1"/>
  <c r="CM75" i="1" s="1"/>
  <c r="DK75" i="1" s="1"/>
  <c r="I113" i="18" s="1"/>
  <c r="CG65" i="1" a="1"/>
  <c r="CG65" i="1" s="1"/>
  <c r="CG70" i="1" a="1"/>
  <c r="CG70" i="1" s="1"/>
  <c r="CG25" i="1" a="1"/>
  <c r="CG25" i="1" s="1"/>
  <c r="CG32" i="1" a="1"/>
  <c r="CG32" i="1" s="1"/>
  <c r="CG58" i="1" a="1"/>
  <c r="CG58" i="1" s="1"/>
  <c r="CI28" i="1" a="1"/>
  <c r="CI28" i="1" s="1"/>
  <c r="CK28" i="1" a="1"/>
  <c r="CK28" i="1" s="1"/>
  <c r="DI28" i="1" s="1"/>
  <c r="G66" i="18" s="1"/>
  <c r="CM42" i="1" a="1"/>
  <c r="CM42" i="1" s="1"/>
  <c r="DK42" i="1" s="1"/>
  <c r="I80" i="18" s="1"/>
  <c r="CI71" i="1" a="1"/>
  <c r="CI71" i="1" s="1"/>
  <c r="CK59" i="1" a="1"/>
  <c r="CK59" i="1" s="1"/>
  <c r="DI59" i="1" s="1"/>
  <c r="G97" i="18" s="1"/>
  <c r="CL68" i="1" a="1"/>
  <c r="CL68" i="1" s="1"/>
  <c r="DJ68" i="1" s="1"/>
  <c r="H106" i="18" s="1"/>
  <c r="CL49" i="1" a="1"/>
  <c r="CL49" i="1" s="1"/>
  <c r="DJ49" i="1" s="1"/>
  <c r="H87" i="18" s="1"/>
  <c r="CM68" i="1" a="1"/>
  <c r="CM68" i="1" s="1"/>
  <c r="DK68" i="1" s="1"/>
  <c r="I106" i="18" s="1"/>
  <c r="CI60" i="1" a="1"/>
  <c r="CI60" i="1" s="1"/>
  <c r="CI46" i="1" a="1"/>
  <c r="CI46" i="1" s="1"/>
  <c r="CK50" i="1" a="1"/>
  <c r="CK50" i="1" s="1"/>
  <c r="DI50" i="1" s="1"/>
  <c r="G88" i="18" s="1"/>
  <c r="CI56" i="1" a="1"/>
  <c r="CI56" i="1" s="1"/>
  <c r="CM28" i="1" a="1"/>
  <c r="CM28" i="1" s="1"/>
  <c r="DK28" i="1" s="1"/>
  <c r="I66" i="18" s="1"/>
  <c r="CG64" i="1" a="1"/>
  <c r="CG64" i="1" s="1"/>
  <c r="CK36" i="1" a="1"/>
  <c r="CK36" i="1" s="1"/>
  <c r="DI36" i="1" s="1"/>
  <c r="G74" i="18" s="1"/>
  <c r="CM33" i="1" a="1"/>
  <c r="CM33" i="1" s="1"/>
  <c r="DK33" i="1" s="1"/>
  <c r="I71" i="18" s="1"/>
  <c r="CI24" i="1" a="1"/>
  <c r="CI24" i="1" s="1"/>
  <c r="CG21" i="1" a="1"/>
  <c r="CG21" i="1" s="1"/>
  <c r="CI38" i="1" a="1"/>
  <c r="CI38" i="1" s="1"/>
  <c r="CI37" i="1" a="1"/>
  <c r="CI37" i="1" s="1"/>
  <c r="CL67" i="1" a="1"/>
  <c r="CL67" i="1" s="1"/>
  <c r="DJ67" i="1" s="1"/>
  <c r="H105" i="18" s="1"/>
  <c r="CG39" i="1" a="1"/>
  <c r="CG39" i="1" s="1"/>
  <c r="CM38" i="1" a="1"/>
  <c r="CM38" i="1" s="1"/>
  <c r="DK38" i="1" s="1"/>
  <c r="I76" i="18" s="1"/>
  <c r="CK38" i="1" a="1"/>
  <c r="CK38" i="1" s="1"/>
  <c r="DI38" i="1" s="1"/>
  <c r="G76" i="18" s="1"/>
  <c r="CM55" i="1" a="1"/>
  <c r="CM55" i="1" s="1"/>
  <c r="DK55" i="1" s="1"/>
  <c r="I93" i="18" s="1"/>
  <c r="CG42" i="1" a="1"/>
  <c r="CG42" i="1" s="1"/>
  <c r="CG71" i="1" a="1"/>
  <c r="CG71" i="1" s="1"/>
  <c r="CI51" i="1" a="1"/>
  <c r="CI51" i="1" s="1"/>
  <c r="CK58" i="1" a="1"/>
  <c r="CK58" i="1" s="1"/>
  <c r="DI58" i="1" s="1"/>
  <c r="G96" i="18" s="1"/>
  <c r="CK32" i="1" a="1"/>
  <c r="CK32" i="1" s="1"/>
  <c r="DI32" i="1" s="1"/>
  <c r="G70" i="18" s="1"/>
  <c r="CG72" i="1" a="1"/>
  <c r="CG72" i="1" s="1"/>
  <c r="CG59" i="1" a="1"/>
  <c r="CG59" i="1" s="1"/>
  <c r="CK37" i="1" a="1"/>
  <c r="CK37" i="1" s="1"/>
  <c r="DI37" i="1" s="1"/>
  <c r="G75" i="18" s="1"/>
  <c r="CL46" i="1" a="1"/>
  <c r="CL46" i="1" s="1"/>
  <c r="DJ46" i="1" s="1"/>
  <c r="H84" i="18" s="1"/>
  <c r="CH23" i="1" a="1"/>
  <c r="CH23" i="1" s="1"/>
  <c r="DF23" i="1" s="1"/>
  <c r="E61" i="18" s="1"/>
  <c r="CG37" i="1" a="1"/>
  <c r="CG37" i="1" s="1"/>
  <c r="CK47" i="1" a="1"/>
  <c r="CK47" i="1" s="1"/>
  <c r="DI47" i="1" s="1"/>
  <c r="G85" i="18" s="1"/>
  <c r="CG50" i="1" a="1"/>
  <c r="CG50" i="1" s="1"/>
  <c r="CG23" i="1" a="1"/>
  <c r="CG23" i="1" s="1"/>
  <c r="CG38" i="1" a="1"/>
  <c r="CG38" i="1" s="1"/>
  <c r="CM37" i="1" a="1"/>
  <c r="CM37" i="1" s="1"/>
  <c r="DK37" i="1" s="1"/>
  <c r="I75" i="18" s="1"/>
  <c r="CM60" i="1" a="1"/>
  <c r="CM60" i="1" s="1"/>
  <c r="DK60" i="1" s="1"/>
  <c r="I98" i="18" s="1"/>
  <c r="CM57" i="1" a="1"/>
  <c r="CM57" i="1" s="1"/>
  <c r="DK57" i="1" s="1"/>
  <c r="I95" i="18" s="1"/>
  <c r="CH36" i="1" a="1"/>
  <c r="CH36" i="1" s="1"/>
  <c r="DF36" i="1" s="1"/>
  <c r="E74" i="18" s="1"/>
  <c r="CL64" i="1" a="1"/>
  <c r="CL64" i="1" s="1"/>
  <c r="DJ64" i="1" s="1"/>
  <c r="H102" i="18" s="1"/>
  <c r="CK54" i="1" a="1"/>
  <c r="CK54" i="1" s="1"/>
  <c r="DI54" i="1" s="1"/>
  <c r="G92" i="18" s="1"/>
  <c r="CG44" i="1" a="1"/>
  <c r="CG44" i="1" s="1"/>
  <c r="CL20" i="1" a="1"/>
  <c r="CL20" i="1" s="1"/>
  <c r="DJ20" i="1" s="1"/>
  <c r="H58" i="18" s="1"/>
  <c r="CK72" i="1" a="1"/>
  <c r="CK72" i="1" s="1"/>
  <c r="DI72" i="1" s="1"/>
  <c r="G110" i="18" s="1"/>
  <c r="CG20" i="1" a="1"/>
  <c r="CG20" i="1" s="1"/>
  <c r="CH22" i="1" a="1"/>
  <c r="CH22" i="1" s="1"/>
  <c r="DF22" i="1" s="1"/>
  <c r="E60" i="18" s="1"/>
  <c r="CG45" i="1" a="1"/>
  <c r="CG45" i="1" s="1"/>
  <c r="CK51" i="1" a="1"/>
  <c r="CK51" i="1" s="1"/>
  <c r="DI51" i="1" s="1"/>
  <c r="G89" i="18" s="1"/>
  <c r="CG68" i="1" a="1"/>
  <c r="CG68" i="1" s="1"/>
  <c r="CI74" i="1" a="1"/>
  <c r="CI74" i="1" s="1"/>
  <c r="CM48" i="1" a="1"/>
  <c r="CM48" i="1" s="1"/>
  <c r="DK48" i="1" s="1"/>
  <c r="I86" i="18" s="1"/>
  <c r="CG74" i="1" a="1"/>
  <c r="CG74" i="1" s="1"/>
  <c r="CK68" i="1" a="1"/>
  <c r="CK68" i="1" s="1"/>
  <c r="DI68" i="1" s="1"/>
  <c r="G106" i="18" s="1"/>
  <c r="CM31" i="1" a="1"/>
  <c r="CM31" i="1" s="1"/>
  <c r="DK31" i="1" s="1"/>
  <c r="I69" i="18" s="1"/>
  <c r="CM34" i="1" a="1"/>
  <c r="CM34" i="1" s="1"/>
  <c r="DK34" i="1" s="1"/>
  <c r="I72" i="18" s="1"/>
  <c r="CG76" i="1" a="1"/>
  <c r="CG76" i="1" s="1"/>
  <c r="CK34" i="1" a="1"/>
  <c r="CK34" i="1" s="1"/>
  <c r="DI34" i="1" s="1"/>
  <c r="G72" i="18" s="1"/>
  <c r="CK25" i="1" a="1"/>
  <c r="CK25" i="1" s="1"/>
  <c r="DI25" i="1" s="1"/>
  <c r="G63" i="18" s="1"/>
  <c r="CI45" i="1" a="1"/>
  <c r="CI45" i="1" s="1"/>
  <c r="CM35" i="1" a="1"/>
  <c r="CM35" i="1" s="1"/>
  <c r="DK35" i="1" s="1"/>
  <c r="I73" i="18" s="1"/>
  <c r="CG28" i="1" a="1"/>
  <c r="CG28" i="1" s="1"/>
  <c r="CM63" i="1" a="1"/>
  <c r="CM63" i="1" s="1"/>
  <c r="DK63" i="1" s="1"/>
  <c r="I101" i="18" s="1"/>
  <c r="CG53" i="1" a="1"/>
  <c r="CG53" i="1" s="1"/>
  <c r="CL55" i="1" a="1"/>
  <c r="CL55" i="1" s="1"/>
  <c r="DJ55" i="1" s="1"/>
  <c r="H93" i="18" s="1"/>
  <c r="CL44" i="1" a="1"/>
  <c r="CL44" i="1" s="1"/>
  <c r="DJ44" i="1" s="1"/>
  <c r="H82" i="18" s="1"/>
  <c r="CL30" i="1" a="1"/>
  <c r="CL30" i="1" s="1"/>
  <c r="DJ30" i="1" s="1"/>
  <c r="H68" i="18" s="1"/>
  <c r="CK75" i="1" a="1"/>
  <c r="CK75" i="1" s="1"/>
  <c r="DI75" i="1" s="1"/>
  <c r="G113" i="18" s="1"/>
  <c r="CM40" i="1" a="1"/>
  <c r="CM40" i="1" s="1"/>
  <c r="DK40" i="1" s="1"/>
  <c r="I78" i="18" s="1"/>
  <c r="CM62" i="1" a="1"/>
  <c r="CM62" i="1" s="1"/>
  <c r="DK62" i="1" s="1"/>
  <c r="I100" i="18" s="1"/>
  <c r="CL36" i="1" a="1"/>
  <c r="CL36" i="1" s="1"/>
  <c r="DJ36" i="1" s="1"/>
  <c r="H74" i="18" s="1"/>
  <c r="CM50" i="1" a="1"/>
  <c r="CM50" i="1" s="1"/>
  <c r="DK50" i="1" s="1"/>
  <c r="I88" i="18" s="1"/>
  <c r="CI61" i="1" a="1"/>
  <c r="CI61" i="1" s="1"/>
  <c r="CK76" i="1" a="1"/>
  <c r="CK76" i="1" s="1"/>
  <c r="DI76" i="1" s="1"/>
  <c r="G114" i="18" s="1"/>
  <c r="CL66" i="1" a="1"/>
  <c r="CL66" i="1" s="1"/>
  <c r="DJ66" i="1" s="1"/>
  <c r="H104" i="18" s="1"/>
  <c r="CM53" i="1" a="1"/>
  <c r="CM53" i="1" s="1"/>
  <c r="DK53" i="1" s="1"/>
  <c r="I91" i="18" s="1"/>
  <c r="CL33" i="1" a="1"/>
  <c r="CL33" i="1" s="1"/>
  <c r="DJ33" i="1" s="1"/>
  <c r="H71" i="18" s="1"/>
  <c r="CG57" i="1" a="1"/>
  <c r="CG57" i="1" s="1"/>
  <c r="CL61" i="1" a="1"/>
  <c r="CL61" i="1" s="1"/>
  <c r="DJ61" i="1" s="1"/>
  <c r="H99" i="18" s="1"/>
  <c r="CM51" i="1" a="1"/>
  <c r="CM51" i="1" s="1"/>
  <c r="DK51" i="1" s="1"/>
  <c r="I89" i="18" s="1"/>
  <c r="CK31" i="1" a="1"/>
  <c r="CK31" i="1" s="1"/>
  <c r="DI31" i="1" s="1"/>
  <c r="G69" i="18" s="1"/>
  <c r="CK56" i="1" a="1"/>
  <c r="CK56" i="1" s="1"/>
  <c r="DI56" i="1" s="1"/>
  <c r="G94" i="18" s="1"/>
  <c r="CG29" i="1" a="1"/>
  <c r="CG29" i="1" s="1"/>
  <c r="CI48" i="1" a="1"/>
  <c r="CI48" i="1" s="1"/>
  <c r="CI49" i="1" a="1"/>
  <c r="CI49" i="1" s="1"/>
  <c r="CG30" i="1" a="1"/>
  <c r="CG30" i="1" s="1"/>
  <c r="CG75" i="1" a="1"/>
  <c r="CG75" i="1" s="1"/>
  <c r="CK39" i="1" a="1"/>
  <c r="CK39" i="1" s="1"/>
  <c r="DI39" i="1" s="1"/>
  <c r="G77" i="18" s="1"/>
  <c r="CM32" i="1" a="1"/>
  <c r="CM32" i="1" s="1"/>
  <c r="DK32" i="1" s="1"/>
  <c r="I70" i="18" s="1"/>
  <c r="CI75" i="1" a="1"/>
  <c r="CI75" i="1" s="1"/>
  <c r="CG36" i="1" a="1"/>
  <c r="CG36" i="1" s="1"/>
  <c r="CL32" i="1" a="1"/>
  <c r="CL32" i="1" s="1"/>
  <c r="DJ32" i="1" s="1"/>
  <c r="H70" i="18" s="1"/>
  <c r="CM66" i="1" a="1"/>
  <c r="CM66" i="1" s="1"/>
  <c r="DK66" i="1" s="1"/>
  <c r="I104" i="18" s="1"/>
  <c r="CI77" i="1" a="1"/>
  <c r="CI77" i="1" s="1"/>
  <c r="CG66" i="1" a="1"/>
  <c r="CG66" i="1" s="1"/>
  <c r="CM29" i="1" a="1"/>
  <c r="CM29" i="1" s="1"/>
  <c r="DK29" i="1" s="1"/>
  <c r="I67" i="18" s="1"/>
  <c r="CG31" i="1" a="1"/>
  <c r="CG31" i="1" s="1"/>
  <c r="CM39" i="1" a="1"/>
  <c r="CM39" i="1" s="1"/>
  <c r="DK39" i="1" s="1"/>
  <c r="I77" i="18" s="1"/>
  <c r="CK24" i="1" a="1"/>
  <c r="CK24" i="1" s="1"/>
  <c r="DI24" i="1" s="1"/>
  <c r="G62" i="18" s="1"/>
  <c r="CM30" i="1" a="1"/>
  <c r="CM30" i="1" s="1"/>
  <c r="DK30" i="1" s="1"/>
  <c r="I68" i="18" s="1"/>
  <c r="CK22" i="1" a="1"/>
  <c r="CK22" i="1" s="1"/>
  <c r="DI22" i="1" s="1"/>
  <c r="G60" i="18" s="1"/>
  <c r="CK69" i="1" a="1"/>
  <c r="CK69" i="1" s="1"/>
  <c r="DI69" i="1" s="1"/>
  <c r="G107" i="18" s="1"/>
  <c r="CI73" i="1" a="1"/>
  <c r="CI73" i="1" s="1"/>
  <c r="CH71" i="1" a="1"/>
  <c r="CH71" i="1" s="1"/>
  <c r="DF71" i="1" s="1"/>
  <c r="E109" i="18" s="1"/>
  <c r="CH25" i="1" a="1"/>
  <c r="CH25" i="1" s="1"/>
  <c r="DF25" i="1" s="1"/>
  <c r="E63" i="18" s="1"/>
  <c r="CK77" i="1" a="1"/>
  <c r="CK77" i="1" s="1"/>
  <c r="DI77" i="1" s="1"/>
  <c r="G115" i="18" s="1"/>
  <c r="CL25" i="1" a="1"/>
  <c r="CL25" i="1" s="1"/>
  <c r="DJ25" i="1" s="1"/>
  <c r="H63" i="18" s="1"/>
  <c r="CL41" i="1" a="1"/>
  <c r="CL41" i="1" s="1"/>
  <c r="DJ41" i="1" s="1"/>
  <c r="H79" i="18" s="1"/>
  <c r="CL50" i="1" a="1"/>
  <c r="CL50" i="1" s="1"/>
  <c r="DJ50" i="1" s="1"/>
  <c r="H88" i="18" s="1"/>
  <c r="CM73" i="1" a="1"/>
  <c r="CM73" i="1" s="1"/>
  <c r="DK73" i="1" s="1"/>
  <c r="I111" i="18" s="1"/>
  <c r="CK20" i="1" a="1"/>
  <c r="CK20" i="1" s="1"/>
  <c r="DI20" i="1" s="1"/>
  <c r="G58" i="18" s="1"/>
  <c r="CI59" i="1" a="1"/>
  <c r="CI59" i="1" s="1"/>
  <c r="CL62" i="1" a="1"/>
  <c r="CL62" i="1" s="1"/>
  <c r="DJ62" i="1" s="1"/>
  <c r="H100" i="18" s="1"/>
  <c r="CK45" i="1" a="1"/>
  <c r="CK45" i="1" s="1"/>
  <c r="DI45" i="1" s="1"/>
  <c r="G83" i="18" s="1"/>
  <c r="CL35" i="1" a="1"/>
  <c r="CL35" i="1" s="1"/>
  <c r="DJ35" i="1" s="1"/>
  <c r="H73" i="18" s="1"/>
  <c r="CK35" i="1" a="1"/>
  <c r="CK35" i="1" s="1"/>
  <c r="DI35" i="1" s="1"/>
  <c r="G73" i="18" s="1"/>
  <c r="CM65" i="1" a="1"/>
  <c r="CM65" i="1" s="1"/>
  <c r="DK65" i="1" s="1"/>
  <c r="I103" i="18" s="1"/>
  <c r="CG56" i="1" a="1"/>
  <c r="CG56" i="1" s="1"/>
  <c r="CL22" i="1" a="1"/>
  <c r="CL22" i="1" s="1"/>
  <c r="DJ22" i="1" s="1"/>
  <c r="H60" i="18" s="1"/>
  <c r="CL58" i="1" a="1"/>
  <c r="CL58" i="1" s="1"/>
  <c r="DJ58" i="1" s="1"/>
  <c r="H96" i="18" s="1"/>
  <c r="CL75" i="1" a="1"/>
  <c r="CL75" i="1" s="1"/>
  <c r="DJ75" i="1" s="1"/>
  <c r="H113" i="18" s="1"/>
  <c r="CM21" i="1" a="1"/>
  <c r="CM21" i="1" s="1"/>
  <c r="DK21" i="1" s="1"/>
  <c r="I59" i="18" s="1"/>
  <c r="CM27" i="1" a="1"/>
  <c r="CM27" i="1" s="1"/>
  <c r="DK27" i="1" s="1"/>
  <c r="I65" i="18" s="1"/>
  <c r="CI65" i="1" a="1"/>
  <c r="CI65" i="1" s="1"/>
  <c r="CK63" i="1" a="1"/>
  <c r="CK63" i="1" s="1"/>
  <c r="DI63" i="1" s="1"/>
  <c r="G101" i="18" s="1"/>
  <c r="CI57" i="1" a="1"/>
  <c r="CI57" i="1" s="1"/>
  <c r="CK23" i="1" a="1"/>
  <c r="CK23" i="1" s="1"/>
  <c r="DI23" i="1" s="1"/>
  <c r="G61" i="18" s="1"/>
  <c r="CM70" i="1" a="1"/>
  <c r="CM70" i="1" s="1"/>
  <c r="DK70" i="1" s="1"/>
  <c r="I108" i="18" s="1"/>
  <c r="CL56" i="1" a="1"/>
  <c r="CL56" i="1" s="1"/>
  <c r="DJ56" i="1" s="1"/>
  <c r="H94" i="18" s="1"/>
  <c r="CL37" i="1" a="1"/>
  <c r="CL37" i="1" s="1"/>
  <c r="DJ37" i="1" s="1"/>
  <c r="H75" i="18" s="1"/>
  <c r="CG63" i="1" a="1"/>
  <c r="CG63" i="1" s="1"/>
  <c r="CM76" i="1" a="1"/>
  <c r="CM76" i="1" s="1"/>
  <c r="DK76" i="1" s="1"/>
  <c r="I114" i="18" s="1"/>
  <c r="CL71" i="1" a="1"/>
  <c r="CL71" i="1" s="1"/>
  <c r="DJ71" i="1" s="1"/>
  <c r="H109" i="18" s="1"/>
  <c r="CM71" i="1" a="1"/>
  <c r="CM71" i="1" s="1"/>
  <c r="DK71" i="1" s="1"/>
  <c r="I109" i="18" s="1"/>
  <c r="CH77" i="1" a="1"/>
  <c r="CH77" i="1" s="1"/>
  <c r="DF77" i="1" s="1"/>
  <c r="E115" i="18" s="1"/>
  <c r="CK74" i="1" a="1"/>
  <c r="CK74" i="1" s="1"/>
  <c r="DI74" i="1" s="1"/>
  <c r="G112" i="18" s="1"/>
  <c r="CK52" i="1" a="1"/>
  <c r="CK52" i="1" s="1"/>
  <c r="DI52" i="1" s="1"/>
  <c r="G90" i="18" s="1"/>
  <c r="CM64" i="1" a="1"/>
  <c r="CM64" i="1" s="1"/>
  <c r="DK64" i="1" s="1"/>
  <c r="I102" i="18" s="1"/>
  <c r="CM52" i="1" a="1"/>
  <c r="CM52" i="1" s="1"/>
  <c r="DK52" i="1" s="1"/>
  <c r="I90" i="18" s="1"/>
  <c r="CK53" i="1" a="1"/>
  <c r="CK53" i="1" s="1"/>
  <c r="DI53" i="1" s="1"/>
  <c r="G91" i="18" s="1"/>
  <c r="CL38" i="1" a="1"/>
  <c r="CL38" i="1" s="1"/>
  <c r="DJ38" i="1" s="1"/>
  <c r="H76" i="18" s="1"/>
  <c r="CK64" i="1" a="1"/>
  <c r="CK64" i="1" s="1"/>
  <c r="DI64" i="1" s="1"/>
  <c r="G102" i="18" s="1"/>
  <c r="CL65" i="1" a="1"/>
  <c r="CL65" i="1" s="1"/>
  <c r="DJ65" i="1" s="1"/>
  <c r="H103" i="18" s="1"/>
  <c r="CL34" i="1" a="1"/>
  <c r="CL34" i="1" s="1"/>
  <c r="DJ34" i="1" s="1"/>
  <c r="H72" i="18" s="1"/>
  <c r="CH20" i="1" a="1"/>
  <c r="CH20" i="1" s="1"/>
  <c r="DF20" i="1" s="1"/>
  <c r="E58" i="18" s="1"/>
  <c r="CL23" i="1" a="1"/>
  <c r="CL23" i="1" s="1"/>
  <c r="DJ23" i="1" s="1"/>
  <c r="H61" i="18" s="1"/>
  <c r="CG51" i="1" a="1"/>
  <c r="CG51" i="1" s="1"/>
  <c r="CK26" i="1" a="1"/>
  <c r="CK26" i="1" s="1"/>
  <c r="DI26" i="1" s="1"/>
  <c r="G64" i="18" s="1"/>
  <c r="CM69" i="1" a="1"/>
  <c r="CM69" i="1" s="1"/>
  <c r="DK69" i="1" s="1"/>
  <c r="I107" i="18" s="1"/>
  <c r="CL27" i="1" a="1"/>
  <c r="CL27" i="1" s="1"/>
  <c r="DJ27" i="1" s="1"/>
  <c r="H65" i="18" s="1"/>
  <c r="CL77" i="1" a="1"/>
  <c r="CL77" i="1" s="1"/>
  <c r="DJ77" i="1" s="1"/>
  <c r="H115" i="18" s="1"/>
  <c r="CK29" i="1" a="1"/>
  <c r="CK29" i="1" s="1"/>
  <c r="DI29" i="1" s="1"/>
  <c r="G67" i="18" s="1"/>
  <c r="CL52" i="1" a="1"/>
  <c r="CL52" i="1" s="1"/>
  <c r="DJ52" i="1" s="1"/>
  <c r="H90" i="18" s="1"/>
  <c r="CG46" i="1" a="1"/>
  <c r="CG46" i="1" s="1"/>
  <c r="CI66" i="1" a="1"/>
  <c r="CI66" i="1" s="1"/>
  <c r="CL24" i="1" a="1"/>
  <c r="CL24" i="1" s="1"/>
  <c r="DJ24" i="1" s="1"/>
  <c r="H62" i="18" s="1"/>
  <c r="CI26" i="1" a="1"/>
  <c r="CI26" i="1" s="1"/>
  <c r="CL53" i="1" a="1"/>
  <c r="CL53" i="1" s="1"/>
  <c r="DJ53" i="1" s="1"/>
  <c r="H91" i="18" s="1"/>
  <c r="CK40" i="1" a="1"/>
  <c r="CK40" i="1" s="1"/>
  <c r="DI40" i="1" s="1"/>
  <c r="G78" i="18" s="1"/>
  <c r="CG24" i="1" a="1"/>
  <c r="CG24" i="1" s="1"/>
  <c r="CL39" i="1" a="1"/>
  <c r="CL39" i="1" s="1"/>
  <c r="DJ39" i="1" s="1"/>
  <c r="H77" i="18" s="1"/>
  <c r="CK55" i="1" a="1"/>
  <c r="CK55" i="1" s="1"/>
  <c r="DI55" i="1" s="1"/>
  <c r="G93" i="18" s="1"/>
  <c r="CM77" i="1" a="1"/>
  <c r="CM77" i="1" s="1"/>
  <c r="DK77" i="1" s="1"/>
  <c r="I115" i="18" s="1"/>
  <c r="CL28" i="1" a="1"/>
  <c r="CL28" i="1" s="1"/>
  <c r="DJ28" i="1" s="1"/>
  <c r="H66" i="18" s="1"/>
  <c r="CM22" i="1" a="1"/>
  <c r="CM22" i="1" s="1"/>
  <c r="DK22" i="1" s="1"/>
  <c r="I60" i="18" s="1"/>
  <c r="CM23" i="1" a="1"/>
  <c r="CM23" i="1" s="1"/>
  <c r="DK23" i="1" s="1"/>
  <c r="I61" i="18" s="1"/>
  <c r="CK65" i="1" a="1"/>
  <c r="CK65" i="1" s="1"/>
  <c r="DI65" i="1" s="1"/>
  <c r="G103" i="18" s="1"/>
  <c r="CG34" i="1" a="1"/>
  <c r="CG34" i="1" s="1"/>
  <c r="CI58" i="1" a="1"/>
  <c r="CI58" i="1" s="1"/>
  <c r="CI67" i="1" a="1"/>
  <c r="CI67" i="1" s="1"/>
  <c r="CM61" i="1" a="1"/>
  <c r="CM61" i="1" s="1"/>
  <c r="DK61" i="1" s="1"/>
  <c r="I99" i="18" s="1"/>
  <c r="CM72" i="1" a="1"/>
  <c r="CM72" i="1" s="1"/>
  <c r="DK72" i="1" s="1"/>
  <c r="I110" i="18" s="1"/>
  <c r="CI41" i="1" a="1"/>
  <c r="CI41" i="1" s="1"/>
  <c r="CL31" i="1" a="1"/>
  <c r="CL31" i="1" s="1"/>
  <c r="DJ31" i="1" s="1"/>
  <c r="H69" i="18" s="1"/>
  <c r="CK70" i="1" a="1"/>
  <c r="CK70" i="1" s="1"/>
  <c r="DI70" i="1" s="1"/>
  <c r="G108" i="18" s="1"/>
  <c r="CK71" i="1" a="1"/>
  <c r="CK71" i="1" s="1"/>
  <c r="DI71" i="1" s="1"/>
  <c r="G109" i="18" s="1"/>
  <c r="CL57" i="1" a="1"/>
  <c r="CL57" i="1" s="1"/>
  <c r="DJ57" i="1" s="1"/>
  <c r="H95" i="18" s="1"/>
  <c r="CG27" i="1" a="1"/>
  <c r="CG27" i="1" s="1"/>
  <c r="CI69" i="1" a="1"/>
  <c r="CI69" i="1" s="1"/>
  <c r="CL40" i="1" a="1"/>
  <c r="CL40" i="1" s="1"/>
  <c r="DJ40" i="1" s="1"/>
  <c r="H78" i="18" s="1"/>
  <c r="CG77" i="1" a="1"/>
  <c r="CG77" i="1" s="1"/>
  <c r="CT19" i="1" a="1"/>
  <c r="CT19" i="1" s="1"/>
  <c r="CO19" i="1" a="1"/>
  <c r="CO19" i="1" s="1"/>
  <c r="CH19" i="1" a="1"/>
  <c r="CH19" i="1" s="1"/>
  <c r="CI19" i="1" a="1"/>
  <c r="CI19" i="1" s="1"/>
  <c r="CQ19" i="1" a="1"/>
  <c r="CQ19" i="1" s="1"/>
  <c r="CM19" i="1" a="1"/>
  <c r="CM19" i="1" s="1"/>
  <c r="CG19" i="1" l="1" a="1"/>
  <c r="CG19" i="1" s="1"/>
  <c r="CK19" i="1" a="1"/>
  <c r="CK19" i="1" s="1"/>
  <c r="CS19" i="1" a="1"/>
  <c r="CS19" i="1" s="1"/>
  <c r="CU19" i="1" a="1"/>
  <c r="CU19" i="1" s="1"/>
  <c r="DK19" i="1" s="1"/>
  <c r="I117" i="18" s="1"/>
  <c r="CP19" i="1" a="1"/>
  <c r="CP19" i="1" s="1"/>
  <c r="DA19" i="1"/>
  <c r="DA48" i="1"/>
  <c r="DC48" i="1" s="1"/>
  <c r="DG48" i="1"/>
  <c r="CW53" i="1"/>
  <c r="DE53" i="1"/>
  <c r="D91" i="18" s="1"/>
  <c r="DA45" i="1"/>
  <c r="DC45" i="1" s="1"/>
  <c r="DG45" i="1"/>
  <c r="DE45" i="1"/>
  <c r="D83" i="18" s="1"/>
  <c r="CW45" i="1"/>
  <c r="DE38" i="1"/>
  <c r="D76" i="18" s="1"/>
  <c r="CW38" i="1"/>
  <c r="CW37" i="1"/>
  <c r="DE37" i="1"/>
  <c r="D75" i="18" s="1"/>
  <c r="CW59" i="1"/>
  <c r="DE59" i="1"/>
  <c r="D97" i="18" s="1"/>
  <c r="DG51" i="1"/>
  <c r="DA51" i="1"/>
  <c r="DC51" i="1" s="1"/>
  <c r="DG37" i="1"/>
  <c r="DA37" i="1"/>
  <c r="DC37" i="1" s="1"/>
  <c r="DA56" i="1"/>
  <c r="DC56" i="1" s="1"/>
  <c r="DG56" i="1"/>
  <c r="DA71" i="1"/>
  <c r="DC71" i="1" s="1"/>
  <c r="DG71" i="1"/>
  <c r="DE58" i="1"/>
  <c r="D96" i="18" s="1"/>
  <c r="CW58" i="1"/>
  <c r="CW65" i="1"/>
  <c r="DE65" i="1"/>
  <c r="D103" i="18" s="1"/>
  <c r="DA27" i="1"/>
  <c r="DC27" i="1" s="1"/>
  <c r="DG27" i="1"/>
  <c r="DE61" i="1"/>
  <c r="D99" i="18" s="1"/>
  <c r="CW61" i="1"/>
  <c r="DE26" i="1"/>
  <c r="D64" i="18" s="1"/>
  <c r="CW26" i="1"/>
  <c r="DA44" i="1"/>
  <c r="DC44" i="1" s="1"/>
  <c r="DG44" i="1"/>
  <c r="CW52" i="1"/>
  <c r="DE52" i="1"/>
  <c r="D90" i="18" s="1"/>
  <c r="CW47" i="1"/>
  <c r="DE47" i="1"/>
  <c r="D85" i="18" s="1"/>
  <c r="DA76" i="1"/>
  <c r="DC76" i="1" s="1"/>
  <c r="DG76" i="1"/>
  <c r="DA31" i="1"/>
  <c r="DC31" i="1" s="1"/>
  <c r="DG31" i="1"/>
  <c r="DA54" i="1"/>
  <c r="DC54" i="1" s="1"/>
  <c r="DG54" i="1"/>
  <c r="DE35" i="1"/>
  <c r="D73" i="18" s="1"/>
  <c r="CW35" i="1"/>
  <c r="DG32" i="1"/>
  <c r="DA32" i="1"/>
  <c r="DC32" i="1" s="1"/>
  <c r="DA20" i="1"/>
  <c r="DC20" i="1" s="1"/>
  <c r="DG20" i="1"/>
  <c r="CG27" i="17" a="1"/>
  <c r="CG27" i="17" s="1"/>
  <c r="CF19" i="17" a="1"/>
  <c r="CF19" i="17" s="1"/>
  <c r="CL19" i="17" a="1"/>
  <c r="CL19" i="17" s="1"/>
  <c r="CG24" i="17" a="1"/>
  <c r="CG24" i="17" s="1"/>
  <c r="CH20" i="17" a="1"/>
  <c r="CH20" i="17" s="1"/>
  <c r="CG19" i="17" a="1"/>
  <c r="CG19" i="17" s="1"/>
  <c r="CJ20" i="17" a="1"/>
  <c r="CJ20" i="17" s="1"/>
  <c r="CJ25" i="17" a="1"/>
  <c r="CJ25" i="17" s="1"/>
  <c r="CL23" i="17" a="1"/>
  <c r="CL23" i="17" s="1"/>
  <c r="CK20" i="17" a="1"/>
  <c r="CK20" i="17" s="1"/>
  <c r="CF27" i="17" a="1"/>
  <c r="CF27" i="17" s="1"/>
  <c r="CK22" i="17" a="1"/>
  <c r="CK22" i="17" s="1"/>
  <c r="CJ23" i="17" a="1"/>
  <c r="CJ23" i="17" s="1"/>
  <c r="CG22" i="17" a="1"/>
  <c r="CG22" i="17" s="1"/>
  <c r="CF25" i="17" a="1"/>
  <c r="CF25" i="17" s="1"/>
  <c r="CF20" i="17" a="1"/>
  <c r="CF20" i="17" s="1"/>
  <c r="CJ19" i="17" a="1"/>
  <c r="CJ19" i="17" s="1"/>
  <c r="CJ26" i="17" a="1"/>
  <c r="CJ26" i="17" s="1"/>
  <c r="CL22" i="17" a="1"/>
  <c r="CL22" i="17" s="1"/>
  <c r="CL26" i="17" a="1"/>
  <c r="CL26" i="17" s="1"/>
  <c r="CH21" i="17" a="1"/>
  <c r="CH21" i="17" s="1"/>
  <c r="CK23" i="17" a="1"/>
  <c r="CK23" i="17" s="1"/>
  <c r="CF21" i="17" a="1"/>
  <c r="CF21" i="17" s="1"/>
  <c r="CK21" i="17" a="1"/>
  <c r="CK21" i="17" s="1"/>
  <c r="CG20" i="17" a="1"/>
  <c r="CG20" i="17" s="1"/>
  <c r="CL21" i="17" a="1"/>
  <c r="CL21" i="17" s="1"/>
  <c r="CJ24" i="17" a="1"/>
  <c r="CJ24" i="17" s="1"/>
  <c r="CG21" i="17" a="1"/>
  <c r="CG21" i="17" s="1"/>
  <c r="CG23" i="17" a="1"/>
  <c r="CG23" i="17" s="1"/>
  <c r="CK26" i="17" a="1"/>
  <c r="CK26" i="17" s="1"/>
  <c r="DI26" i="17" s="1"/>
  <c r="H33" i="18" s="1"/>
  <c r="CK19" i="17" a="1"/>
  <c r="CK19" i="17" s="1"/>
  <c r="CL20" i="17" a="1"/>
  <c r="CL20" i="17" s="1"/>
  <c r="CH24" i="17" a="1"/>
  <c r="CH24" i="17" s="1"/>
  <c r="CK24" i="17" a="1"/>
  <c r="CK24" i="17" s="1"/>
  <c r="CL25" i="17" a="1"/>
  <c r="CL25" i="17" s="1"/>
  <c r="CG26" i="17" a="1"/>
  <c r="CG26" i="17" s="1"/>
  <c r="CJ22" i="17" a="1"/>
  <c r="CJ22" i="17" s="1"/>
  <c r="CH19" i="17" a="1"/>
  <c r="CH19" i="17" s="1"/>
  <c r="CH27" i="17" a="1"/>
  <c r="CH27" i="17" s="1"/>
  <c r="CH25" i="17" a="1"/>
  <c r="CH25" i="17" s="1"/>
  <c r="CH26" i="17" a="1"/>
  <c r="CH26" i="17" s="1"/>
  <c r="CK25" i="17" a="1"/>
  <c r="CK25" i="17" s="1"/>
  <c r="CG25" i="17" a="1"/>
  <c r="CG25" i="17" s="1"/>
  <c r="CK27" i="17" a="1"/>
  <c r="CK27" i="17" s="1"/>
  <c r="CH22" i="17" a="1"/>
  <c r="CH22" i="17" s="1"/>
  <c r="CJ21" i="17" a="1"/>
  <c r="CJ21" i="17" s="1"/>
  <c r="CH23" i="17" a="1"/>
  <c r="CH23" i="17" s="1"/>
  <c r="CJ27" i="17" a="1"/>
  <c r="CJ27" i="17" s="1"/>
  <c r="CF23" i="17" a="1"/>
  <c r="CF23" i="17" s="1"/>
  <c r="CF22" i="17" a="1"/>
  <c r="CF22" i="17" s="1"/>
  <c r="CF26" i="17" a="1"/>
  <c r="CF26" i="17" s="1"/>
  <c r="CL27" i="17" a="1"/>
  <c r="CL27" i="17" s="1"/>
  <c r="CL24" i="17" a="1"/>
  <c r="CL24" i="17" s="1"/>
  <c r="CF24" i="17" a="1"/>
  <c r="CF24" i="17" s="1"/>
  <c r="DI19" i="1"/>
  <c r="G117" i="18" s="1"/>
  <c r="CW24" i="1"/>
  <c r="DE24" i="1"/>
  <c r="D62" i="18" s="1"/>
  <c r="DA65" i="1"/>
  <c r="DC65" i="1" s="1"/>
  <c r="DG65" i="1"/>
  <c r="DG59" i="1"/>
  <c r="DA59" i="1"/>
  <c r="DC59" i="1" s="1"/>
  <c r="DA69" i="1"/>
  <c r="DC69" i="1" s="1"/>
  <c r="DG69" i="1"/>
  <c r="DA66" i="1"/>
  <c r="DC66" i="1" s="1"/>
  <c r="DG66" i="1"/>
  <c r="CW51" i="1"/>
  <c r="DE51" i="1"/>
  <c r="D89" i="18" s="1"/>
  <c r="CW63" i="1"/>
  <c r="DE63" i="1"/>
  <c r="D101" i="18" s="1"/>
  <c r="DA73" i="1"/>
  <c r="DC73" i="1" s="1"/>
  <c r="DG73" i="1"/>
  <c r="CW66" i="1"/>
  <c r="DE66" i="1"/>
  <c r="D104" i="18" s="1"/>
  <c r="CW36" i="1"/>
  <c r="DE36" i="1"/>
  <c r="D74" i="18" s="1"/>
  <c r="CW75" i="1"/>
  <c r="DE75" i="1"/>
  <c r="D113" i="18" s="1"/>
  <c r="DE29" i="1"/>
  <c r="D67" i="18" s="1"/>
  <c r="CW29" i="1"/>
  <c r="DG74" i="1"/>
  <c r="DA74" i="1"/>
  <c r="DC74" i="1" s="1"/>
  <c r="CW44" i="1"/>
  <c r="DE44" i="1"/>
  <c r="D82" i="18" s="1"/>
  <c r="DE23" i="1"/>
  <c r="D61" i="18" s="1"/>
  <c r="CW23" i="1"/>
  <c r="DE72" i="1"/>
  <c r="D110" i="18" s="1"/>
  <c r="CW72" i="1"/>
  <c r="CW71" i="1"/>
  <c r="DE71" i="1"/>
  <c r="D109" i="18" s="1"/>
  <c r="DG38" i="1"/>
  <c r="DA38" i="1"/>
  <c r="DC38" i="1" s="1"/>
  <c r="DE32" i="1"/>
  <c r="D70" i="18" s="1"/>
  <c r="CW32" i="1"/>
  <c r="DE43" i="1"/>
  <c r="D81" i="18" s="1"/>
  <c r="CW43" i="1"/>
  <c r="DG43" i="1"/>
  <c r="DA43" i="1"/>
  <c r="DC43" i="1" s="1"/>
  <c r="DG53" i="1"/>
  <c r="DA53" i="1"/>
  <c r="DC53" i="1" s="1"/>
  <c r="DA63" i="1"/>
  <c r="DC63" i="1" s="1"/>
  <c r="DG63" i="1"/>
  <c r="DG50" i="1"/>
  <c r="DA50" i="1"/>
  <c r="DC50" i="1" s="1"/>
  <c r="DG23" i="1"/>
  <c r="DA23" i="1"/>
  <c r="DC23" i="1" s="1"/>
  <c r="DG47" i="1"/>
  <c r="DA47" i="1"/>
  <c r="DC47" i="1" s="1"/>
  <c r="DG55" i="1"/>
  <c r="DA55" i="1"/>
  <c r="DC55" i="1" s="1"/>
  <c r="DA33" i="1"/>
  <c r="DC33" i="1" s="1"/>
  <c r="DG33" i="1"/>
  <c r="CW19" i="1"/>
  <c r="V117" i="18" s="1"/>
  <c r="DE34" i="1"/>
  <c r="D72" i="18" s="1"/>
  <c r="CW34" i="1"/>
  <c r="DE19" i="1"/>
  <c r="D117" i="18" s="1"/>
  <c r="DG19" i="1"/>
  <c r="DJ19" i="1"/>
  <c r="H117" i="18" s="1"/>
  <c r="CW27" i="1"/>
  <c r="DE27" i="1"/>
  <c r="D65" i="18" s="1"/>
  <c r="DG67" i="1"/>
  <c r="DA67" i="1"/>
  <c r="DC67" i="1" s="1"/>
  <c r="CW46" i="1"/>
  <c r="DE46" i="1"/>
  <c r="D84" i="18" s="1"/>
  <c r="DA57" i="1"/>
  <c r="DC57" i="1" s="1"/>
  <c r="DG57" i="1"/>
  <c r="CW56" i="1"/>
  <c r="DE56" i="1"/>
  <c r="D94" i="18" s="1"/>
  <c r="DG77" i="1"/>
  <c r="DA77" i="1"/>
  <c r="DC77" i="1" s="1"/>
  <c r="DG75" i="1"/>
  <c r="DA75" i="1"/>
  <c r="DC75" i="1" s="1"/>
  <c r="CW30" i="1"/>
  <c r="DE30" i="1"/>
  <c r="D68" i="18" s="1"/>
  <c r="CW57" i="1"/>
  <c r="DE57" i="1"/>
  <c r="D95" i="18" s="1"/>
  <c r="CW28" i="1"/>
  <c r="DE28" i="1"/>
  <c r="D66" i="18" s="1"/>
  <c r="DE68" i="1"/>
  <c r="D106" i="18" s="1"/>
  <c r="CW68" i="1"/>
  <c r="CW20" i="1"/>
  <c r="DE20" i="1"/>
  <c r="D58" i="18" s="1"/>
  <c r="CW50" i="1"/>
  <c r="DE50" i="1"/>
  <c r="D88" i="18" s="1"/>
  <c r="DE42" i="1"/>
  <c r="D80" i="18" s="1"/>
  <c r="CW42" i="1"/>
  <c r="DE39" i="1"/>
  <c r="D77" i="18" s="1"/>
  <c r="CW39" i="1"/>
  <c r="CW21" i="1"/>
  <c r="DE21" i="1"/>
  <c r="D59" i="18" s="1"/>
  <c r="CW64" i="1"/>
  <c r="DE64" i="1"/>
  <c r="D102" i="18" s="1"/>
  <c r="DG46" i="1"/>
  <c r="DA46" i="1"/>
  <c r="DC46" i="1" s="1"/>
  <c r="CW25" i="1"/>
  <c r="DE25" i="1"/>
  <c r="D63" i="18" s="1"/>
  <c r="DG64" i="1"/>
  <c r="DA64" i="1"/>
  <c r="DC64" i="1" s="1"/>
  <c r="DA25" i="1"/>
  <c r="DC25" i="1" s="1"/>
  <c r="DG25" i="1"/>
  <c r="CW41" i="1"/>
  <c r="DE41" i="1"/>
  <c r="D79" i="18" s="1"/>
  <c r="CW67" i="1"/>
  <c r="DE67" i="1"/>
  <c r="D105" i="18" s="1"/>
  <c r="CW54" i="1"/>
  <c r="DE54" i="1"/>
  <c r="D92" i="18" s="1"/>
  <c r="DA52" i="1"/>
  <c r="DC52" i="1" s="1"/>
  <c r="DG52" i="1"/>
  <c r="CW73" i="1"/>
  <c r="DE73" i="1"/>
  <c r="D111" i="18" s="1"/>
  <c r="DE60" i="1"/>
  <c r="D98" i="18" s="1"/>
  <c r="CW60" i="1"/>
  <c r="CW33" i="1"/>
  <c r="DE33" i="1"/>
  <c r="D71" i="18" s="1"/>
  <c r="DG39" i="1"/>
  <c r="DA39" i="1"/>
  <c r="DC39" i="1" s="1"/>
  <c r="DG70" i="1"/>
  <c r="DA70" i="1"/>
  <c r="DC70" i="1" s="1"/>
  <c r="DG35" i="1"/>
  <c r="DA35" i="1"/>
  <c r="DC35" i="1" s="1"/>
  <c r="DA68" i="1"/>
  <c r="DC68" i="1" s="1"/>
  <c r="DG68" i="1"/>
  <c r="DE62" i="1"/>
  <c r="D100" i="18" s="1"/>
  <c r="CW62" i="1"/>
  <c r="DA40" i="1"/>
  <c r="DC40" i="1" s="1"/>
  <c r="DG40" i="1"/>
  <c r="DE55" i="1"/>
  <c r="D93" i="18" s="1"/>
  <c r="CW55" i="1"/>
  <c r="CW40" i="1"/>
  <c r="DE40" i="1"/>
  <c r="D78" i="18" s="1"/>
  <c r="DF19" i="1"/>
  <c r="E117" i="18" s="1"/>
  <c r="DE77" i="1"/>
  <c r="D115" i="18" s="1"/>
  <c r="CW77" i="1"/>
  <c r="DG41" i="1"/>
  <c r="DA41" i="1"/>
  <c r="DC41" i="1" s="1"/>
  <c r="DG58" i="1"/>
  <c r="DA58" i="1"/>
  <c r="DC58" i="1" s="1"/>
  <c r="DG26" i="1"/>
  <c r="DA26" i="1"/>
  <c r="DC26" i="1" s="1"/>
  <c r="CW31" i="1"/>
  <c r="DE31" i="1"/>
  <c r="D69" i="18" s="1"/>
  <c r="DA49" i="1"/>
  <c r="DC49" i="1" s="1"/>
  <c r="DG49" i="1"/>
  <c r="DG61" i="1"/>
  <c r="DA61" i="1"/>
  <c r="DC61" i="1" s="1"/>
  <c r="CW76" i="1"/>
  <c r="DE76" i="1"/>
  <c r="D114" i="18" s="1"/>
  <c r="DE74" i="1"/>
  <c r="D112" i="18" s="1"/>
  <c r="CW74" i="1"/>
  <c r="DG24" i="1"/>
  <c r="DA24" i="1"/>
  <c r="DC24" i="1" s="1"/>
  <c r="DA60" i="1"/>
  <c r="DC60" i="1" s="1"/>
  <c r="DG60" i="1"/>
  <c r="DA28" i="1"/>
  <c r="DC28" i="1" s="1"/>
  <c r="DG28" i="1"/>
  <c r="CW70" i="1"/>
  <c r="DE70" i="1"/>
  <c r="D108" i="18" s="1"/>
  <c r="DG62" i="1"/>
  <c r="DA62" i="1"/>
  <c r="DC62" i="1" s="1"/>
  <c r="DE22" i="1"/>
  <c r="D60" i="18" s="1"/>
  <c r="CW22" i="1"/>
  <c r="DE69" i="1"/>
  <c r="D107" i="18" s="1"/>
  <c r="CW69" i="1"/>
  <c r="CW48" i="1"/>
  <c r="DE48" i="1"/>
  <c r="D86" i="18" s="1"/>
  <c r="DG42" i="1"/>
  <c r="DA42" i="1"/>
  <c r="DC42" i="1" s="1"/>
  <c r="CW49" i="1"/>
  <c r="DE49" i="1"/>
  <c r="D87" i="18" s="1"/>
  <c r="DG22" i="1"/>
  <c r="DA22" i="1"/>
  <c r="DC22" i="1" s="1"/>
  <c r="DA34" i="1"/>
  <c r="DC34" i="1" s="1"/>
  <c r="DG34" i="1"/>
  <c r="DG21" i="1"/>
  <c r="DA21" i="1"/>
  <c r="DC21" i="1" s="1"/>
  <c r="DA29" i="1"/>
  <c r="DC29" i="1" s="1"/>
  <c r="DG29" i="1"/>
  <c r="DA36" i="1"/>
  <c r="DC36" i="1" s="1"/>
  <c r="DG36" i="1"/>
  <c r="DG72" i="1"/>
  <c r="DA72" i="1"/>
  <c r="DC72" i="1" s="1"/>
  <c r="DG30" i="1"/>
  <c r="DA30" i="1"/>
  <c r="DC30" i="1" s="1"/>
  <c r="DB19" i="1" l="1"/>
  <c r="DC19" i="1" s="1"/>
  <c r="CX19" i="1"/>
  <c r="CY19" i="1" s="1"/>
  <c r="CY48" i="1"/>
  <c r="DN48" i="1"/>
  <c r="L86" i="18" s="1"/>
  <c r="V86" i="18"/>
  <c r="V93" i="18"/>
  <c r="CY55" i="1"/>
  <c r="DN55" i="1"/>
  <c r="L93" i="18" s="1"/>
  <c r="V98" i="18"/>
  <c r="DN60" i="1"/>
  <c r="L98" i="18" s="1"/>
  <c r="CY60" i="1"/>
  <c r="V77" i="18"/>
  <c r="DN39" i="1"/>
  <c r="L77" i="18" s="1"/>
  <c r="CY39" i="1"/>
  <c r="V106" i="18"/>
  <c r="CY68" i="1"/>
  <c r="DN68" i="1"/>
  <c r="L106" i="18" s="1"/>
  <c r="V82" i="18"/>
  <c r="DN44" i="1"/>
  <c r="L82" i="18" s="1"/>
  <c r="CY44" i="1"/>
  <c r="CY36" i="1"/>
  <c r="DN36" i="1"/>
  <c r="L74" i="18" s="1"/>
  <c r="V74" i="18"/>
  <c r="CY51" i="1"/>
  <c r="V89" i="18"/>
  <c r="DN51" i="1"/>
  <c r="L89" i="18" s="1"/>
  <c r="DO24" i="17"/>
  <c r="C24" i="19"/>
  <c r="C34" i="19" s="1"/>
  <c r="C44" i="19" s="1"/>
  <c r="D12" i="18" s="1"/>
  <c r="DD24" i="17"/>
  <c r="D31" i="18" s="1"/>
  <c r="CV24" i="17"/>
  <c r="DO22" i="17"/>
  <c r="C22" i="19"/>
  <c r="C32" i="19" s="1"/>
  <c r="C42" i="19" s="1"/>
  <c r="D10" i="18" s="1"/>
  <c r="DD22" i="17"/>
  <c r="D29" i="18" s="1"/>
  <c r="CV22" i="17"/>
  <c r="DS21" i="17"/>
  <c r="G21" i="19"/>
  <c r="G31" i="19" s="1"/>
  <c r="G41" i="19" s="1"/>
  <c r="G9" i="18" s="1"/>
  <c r="DH21" i="17"/>
  <c r="G28" i="18" s="1"/>
  <c r="DT25" i="17"/>
  <c r="H25" i="19"/>
  <c r="H35" i="19" s="1"/>
  <c r="H45" i="19" s="1"/>
  <c r="H13" i="18" s="1"/>
  <c r="DI25" i="17"/>
  <c r="H32" i="18" s="1"/>
  <c r="DQ19" i="17"/>
  <c r="DF19" i="17"/>
  <c r="E19" i="19"/>
  <c r="E29" i="19" s="1"/>
  <c r="E39" i="19" s="1"/>
  <c r="CZ19" i="17"/>
  <c r="DB19" i="17" s="1"/>
  <c r="DT24" i="17"/>
  <c r="DI24" i="17"/>
  <c r="H31" i="18" s="1"/>
  <c r="H24" i="19"/>
  <c r="H34" i="19" s="1"/>
  <c r="H44" i="19" s="1"/>
  <c r="H12" i="18" s="1"/>
  <c r="DT26" i="17"/>
  <c r="H26" i="19"/>
  <c r="H36" i="19" s="1"/>
  <c r="H46" i="19" s="1"/>
  <c r="H14" i="18" s="1"/>
  <c r="DU21" i="17"/>
  <c r="DJ21" i="17"/>
  <c r="I28" i="18" s="1"/>
  <c r="I21" i="19"/>
  <c r="I31" i="19" s="1"/>
  <c r="I41" i="19" s="1"/>
  <c r="I9" i="18" s="1"/>
  <c r="DT23" i="17"/>
  <c r="DI23" i="17"/>
  <c r="H30" i="18" s="1"/>
  <c r="H23" i="19"/>
  <c r="H33" i="19" s="1"/>
  <c r="H43" i="19" s="1"/>
  <c r="H11" i="18" s="1"/>
  <c r="DH26" i="17"/>
  <c r="G33" i="18" s="1"/>
  <c r="G26" i="19"/>
  <c r="G36" i="19" s="1"/>
  <c r="G46" i="19" s="1"/>
  <c r="G14" i="18" s="1"/>
  <c r="DS26" i="17"/>
  <c r="DP22" i="17"/>
  <c r="D22" i="19"/>
  <c r="DT20" i="17"/>
  <c r="H20" i="19"/>
  <c r="H30" i="19" s="1"/>
  <c r="H40" i="19" s="1"/>
  <c r="H8" i="18" s="1"/>
  <c r="DI20" i="17"/>
  <c r="H27" i="18" s="1"/>
  <c r="DE19" i="17"/>
  <c r="D19" i="19"/>
  <c r="D29" i="19" s="1"/>
  <c r="D39" i="19" s="1"/>
  <c r="DP19" i="17"/>
  <c r="DD19" i="17"/>
  <c r="CV19" i="17"/>
  <c r="DO19" i="17"/>
  <c r="C19" i="19"/>
  <c r="C29" i="19" s="1"/>
  <c r="C39" i="19" s="1"/>
  <c r="CY26" i="1"/>
  <c r="V64" i="18"/>
  <c r="DN26" i="1"/>
  <c r="L64" i="18" s="1"/>
  <c r="V96" i="18"/>
  <c r="DN58" i="1"/>
  <c r="L96" i="18" s="1"/>
  <c r="CY58" i="1"/>
  <c r="CY45" i="1"/>
  <c r="DN45" i="1"/>
  <c r="L83" i="18" s="1"/>
  <c r="V83" i="18"/>
  <c r="V69" i="18"/>
  <c r="DN31" i="1"/>
  <c r="L69" i="18" s="1"/>
  <c r="CY31" i="1"/>
  <c r="V94" i="18"/>
  <c r="DN56" i="1"/>
  <c r="L94" i="18" s="1"/>
  <c r="CY56" i="1"/>
  <c r="DN46" i="1"/>
  <c r="L84" i="18" s="1"/>
  <c r="V84" i="18"/>
  <c r="CY46" i="1"/>
  <c r="V65" i="18"/>
  <c r="DN27" i="1"/>
  <c r="L65" i="18" s="1"/>
  <c r="CY27" i="1"/>
  <c r="DN32" i="1"/>
  <c r="L70" i="18" s="1"/>
  <c r="V70" i="18"/>
  <c r="CY32" i="1"/>
  <c r="V61" i="18"/>
  <c r="DN23" i="1"/>
  <c r="L61" i="18" s="1"/>
  <c r="CY23" i="1"/>
  <c r="DU24" i="17"/>
  <c r="I24" i="19"/>
  <c r="I34" i="19" s="1"/>
  <c r="I44" i="19" s="1"/>
  <c r="I12" i="18" s="1"/>
  <c r="DJ24" i="17"/>
  <c r="I31" i="18" s="1"/>
  <c r="DO23" i="17"/>
  <c r="C23" i="19"/>
  <c r="C33" i="19" s="1"/>
  <c r="C43" i="19" s="1"/>
  <c r="D11" i="18" s="1"/>
  <c r="DD23" i="17"/>
  <c r="D30" i="18" s="1"/>
  <c r="CV23" i="17"/>
  <c r="DF22" i="17"/>
  <c r="DQ22" i="17"/>
  <c r="CZ22" i="17"/>
  <c r="DB22" i="17" s="1"/>
  <c r="E22" i="19"/>
  <c r="E32" i="19" s="1"/>
  <c r="E42" i="19" s="1"/>
  <c r="CZ26" i="17"/>
  <c r="DB26" i="17" s="1"/>
  <c r="DF26" i="17"/>
  <c r="E26" i="19"/>
  <c r="E36" i="19" s="1"/>
  <c r="E46" i="19" s="1"/>
  <c r="DQ26" i="17"/>
  <c r="DS22" i="17"/>
  <c r="G22" i="19"/>
  <c r="G32" i="19" s="1"/>
  <c r="G42" i="19" s="1"/>
  <c r="G10" i="18" s="1"/>
  <c r="DH22" i="17"/>
  <c r="G29" i="18" s="1"/>
  <c r="DQ24" i="17"/>
  <c r="DF24" i="17"/>
  <c r="CZ24" i="17"/>
  <c r="DB24" i="17" s="1"/>
  <c r="E24" i="19"/>
  <c r="E34" i="19" s="1"/>
  <c r="E44" i="19" s="1"/>
  <c r="DP23" i="17"/>
  <c r="D23" i="19"/>
  <c r="DP20" i="17"/>
  <c r="DE20" i="17"/>
  <c r="E27" i="18" s="1"/>
  <c r="D20" i="19"/>
  <c r="D30" i="19" s="1"/>
  <c r="D40" i="19" s="1"/>
  <c r="E8" i="18" s="1"/>
  <c r="DQ21" i="17"/>
  <c r="E21" i="19"/>
  <c r="E31" i="19" s="1"/>
  <c r="E41" i="19" s="1"/>
  <c r="DF21" i="17"/>
  <c r="CZ21" i="17"/>
  <c r="DB21" i="17" s="1"/>
  <c r="DH19" i="17"/>
  <c r="DS19" i="17"/>
  <c r="G19" i="19"/>
  <c r="G29" i="19" s="1"/>
  <c r="G39" i="19" s="1"/>
  <c r="DS23" i="17"/>
  <c r="DH23" i="17"/>
  <c r="G30" i="18" s="1"/>
  <c r="G23" i="19"/>
  <c r="G33" i="19" s="1"/>
  <c r="G43" i="19" s="1"/>
  <c r="G11" i="18" s="1"/>
  <c r="DU23" i="17"/>
  <c r="DJ23" i="17"/>
  <c r="I30" i="18" s="1"/>
  <c r="I23" i="19"/>
  <c r="I33" i="19" s="1"/>
  <c r="I43" i="19" s="1"/>
  <c r="I11" i="18" s="1"/>
  <c r="E20" i="19"/>
  <c r="E30" i="19" s="1"/>
  <c r="E40" i="19" s="1"/>
  <c r="DF20" i="17"/>
  <c r="DQ20" i="17"/>
  <c r="CZ20" i="17"/>
  <c r="DB20" i="17" s="1"/>
  <c r="DP27" i="17"/>
  <c r="D27" i="19"/>
  <c r="V90" i="18"/>
  <c r="DN52" i="1"/>
  <c r="L90" i="18" s="1"/>
  <c r="CY52" i="1"/>
  <c r="V75" i="18"/>
  <c r="CY37" i="1"/>
  <c r="DN37" i="1"/>
  <c r="L75" i="18" s="1"/>
  <c r="DN53" i="1"/>
  <c r="L91" i="18" s="1"/>
  <c r="CY53" i="1"/>
  <c r="V91" i="18"/>
  <c r="CY62" i="1"/>
  <c r="DN62" i="1"/>
  <c r="L100" i="18" s="1"/>
  <c r="V100" i="18"/>
  <c r="CY67" i="1"/>
  <c r="V105" i="18"/>
  <c r="DN67" i="1"/>
  <c r="L105" i="18" s="1"/>
  <c r="V63" i="18"/>
  <c r="DN25" i="1"/>
  <c r="L63" i="18" s="1"/>
  <c r="CY25" i="1"/>
  <c r="V102" i="18"/>
  <c r="DN64" i="1"/>
  <c r="L102" i="18" s="1"/>
  <c r="CY64" i="1"/>
  <c r="V88" i="18"/>
  <c r="DN50" i="1"/>
  <c r="L88" i="18" s="1"/>
  <c r="CY50" i="1"/>
  <c r="V80" i="18"/>
  <c r="DN42" i="1"/>
  <c r="L80" i="18" s="1"/>
  <c r="CY42" i="1"/>
  <c r="V109" i="18"/>
  <c r="CY71" i="1"/>
  <c r="DN71" i="1"/>
  <c r="L109" i="18" s="1"/>
  <c r="CY75" i="1"/>
  <c r="V113" i="18"/>
  <c r="DN75" i="1"/>
  <c r="L113" i="18" s="1"/>
  <c r="V104" i="18"/>
  <c r="DN66" i="1"/>
  <c r="L104" i="18" s="1"/>
  <c r="CY66" i="1"/>
  <c r="DN63" i="1"/>
  <c r="L101" i="18" s="1"/>
  <c r="V101" i="18"/>
  <c r="CY63" i="1"/>
  <c r="DN24" i="1"/>
  <c r="L62" i="18" s="1"/>
  <c r="CY24" i="1"/>
  <c r="V62" i="18"/>
  <c r="DU27" i="17"/>
  <c r="DJ27" i="17"/>
  <c r="I34" i="18" s="1"/>
  <c r="I27" i="19"/>
  <c r="I37" i="19" s="1"/>
  <c r="I47" i="19" s="1"/>
  <c r="I15" i="18" s="1"/>
  <c r="DS27" i="17"/>
  <c r="G27" i="19"/>
  <c r="G37" i="19" s="1" a="1"/>
  <c r="G37" i="19" s="1"/>
  <c r="G47" i="19" s="1"/>
  <c r="G15" i="18" s="1"/>
  <c r="DH27" i="17"/>
  <c r="G34" i="18" s="1"/>
  <c r="DT27" i="17"/>
  <c r="DI27" i="17"/>
  <c r="H34" i="18" s="1"/>
  <c r="H27" i="19"/>
  <c r="H37" i="19" s="1" a="1"/>
  <c r="H37" i="19" s="1"/>
  <c r="H47" i="19" s="1"/>
  <c r="H15" i="18" s="1"/>
  <c r="DQ25" i="17"/>
  <c r="DF25" i="17"/>
  <c r="E25" i="19"/>
  <c r="E35" i="19" s="1"/>
  <c r="E45" i="19" s="1"/>
  <c r="CZ25" i="17"/>
  <c r="DB25" i="17" s="1"/>
  <c r="DP26" i="17"/>
  <c r="D26" i="19"/>
  <c r="DU20" i="17"/>
  <c r="DJ20" i="17"/>
  <c r="I27" i="18" s="1"/>
  <c r="I20" i="19"/>
  <c r="I30" i="19" s="1"/>
  <c r="I40" i="19" s="1"/>
  <c r="I8" i="18" s="1"/>
  <c r="D21" i="19"/>
  <c r="D31" i="19" s="1"/>
  <c r="D41" i="19" s="1"/>
  <c r="E9" i="18" s="1"/>
  <c r="DP21" i="17"/>
  <c r="DE21" i="17"/>
  <c r="E28" i="18" s="1" a="1"/>
  <c r="E28" i="18" s="1"/>
  <c r="DT21" i="17"/>
  <c r="H21" i="19"/>
  <c r="H31" i="19" s="1"/>
  <c r="H41" i="19" s="1"/>
  <c r="H9" i="18" s="1"/>
  <c r="DI21" i="17"/>
  <c r="H28" i="18" s="1"/>
  <c r="DU26" i="17"/>
  <c r="I26" i="19"/>
  <c r="I36" i="19" s="1"/>
  <c r="I46" i="19" s="1"/>
  <c r="I14" i="18" s="1"/>
  <c r="DJ26" i="17"/>
  <c r="I33" i="18" s="1"/>
  <c r="DO20" i="17"/>
  <c r="C20" i="19"/>
  <c r="C30" i="19" s="1"/>
  <c r="C40" i="19" s="1"/>
  <c r="D8" i="18" s="1"/>
  <c r="DD20" i="17"/>
  <c r="D27" i="18" s="1"/>
  <c r="CV20" i="17"/>
  <c r="DT22" i="17"/>
  <c r="DI22" i="17"/>
  <c r="H29" i="18" s="1"/>
  <c r="H22" i="19"/>
  <c r="H32" i="19" s="1"/>
  <c r="H42" i="19" s="1"/>
  <c r="H10" i="18" s="1"/>
  <c r="DS25" i="17"/>
  <c r="G25" i="19"/>
  <c r="G35" i="19" s="1"/>
  <c r="G45" i="19" s="1"/>
  <c r="G13" i="18" s="1"/>
  <c r="DH25" i="17"/>
  <c r="G32" i="18" s="1"/>
  <c r="D24" i="19"/>
  <c r="DP24" i="17"/>
  <c r="DN35" i="1"/>
  <c r="L73" i="18" s="1"/>
  <c r="CY35" i="1"/>
  <c r="V73" i="18"/>
  <c r="V99" i="18"/>
  <c r="CY61" i="1"/>
  <c r="DN61" i="1"/>
  <c r="L99" i="18" s="1"/>
  <c r="V76" i="18"/>
  <c r="CY38" i="1"/>
  <c r="DN38" i="1"/>
  <c r="L76" i="18" s="1"/>
  <c r="DN49" i="1"/>
  <c r="L87" i="18" s="1"/>
  <c r="V87" i="18"/>
  <c r="CY49" i="1"/>
  <c r="V108" i="18"/>
  <c r="DN70" i="1"/>
  <c r="L108" i="18" s="1"/>
  <c r="CY70" i="1"/>
  <c r="DN69" i="1"/>
  <c r="L107" i="18" s="1"/>
  <c r="CY69" i="1"/>
  <c r="V107" i="18"/>
  <c r="V95" i="18"/>
  <c r="DN57" i="1"/>
  <c r="L95" i="18" s="1"/>
  <c r="CY57" i="1"/>
  <c r="DN76" i="1"/>
  <c r="L114" i="18" s="1"/>
  <c r="CY76" i="1"/>
  <c r="O114" i="18" s="1"/>
  <c r="P114" i="18" s="1"/>
  <c r="V60" i="18"/>
  <c r="DN22" i="1"/>
  <c r="L60" i="18" s="1"/>
  <c r="CY22" i="1"/>
  <c r="V112" i="18"/>
  <c r="CY74" i="1"/>
  <c r="DN74" i="1"/>
  <c r="L112" i="18" s="1"/>
  <c r="CY77" i="1"/>
  <c r="O115" i="18" s="1"/>
  <c r="P115" i="18" s="1"/>
  <c r="DN77" i="1"/>
  <c r="L115" i="18" s="1"/>
  <c r="V78" i="18"/>
  <c r="DN40" i="1"/>
  <c r="L78" i="18" s="1"/>
  <c r="CY40" i="1"/>
  <c r="V71" i="18"/>
  <c r="CY33" i="1"/>
  <c r="DN33" i="1"/>
  <c r="L71" i="18" s="1"/>
  <c r="V111" i="18"/>
  <c r="CY73" i="1"/>
  <c r="DN73" i="1"/>
  <c r="L111" i="18" s="1"/>
  <c r="CY54" i="1"/>
  <c r="DN54" i="1"/>
  <c r="L92" i="18" s="1"/>
  <c r="V92" i="18"/>
  <c r="V79" i="18"/>
  <c r="DN41" i="1"/>
  <c r="L79" i="18" s="1"/>
  <c r="CY41" i="1"/>
  <c r="DN21" i="1"/>
  <c r="L59" i="18" s="1"/>
  <c r="V59" i="18"/>
  <c r="CY21" i="1"/>
  <c r="CY20" i="1"/>
  <c r="V58" i="18"/>
  <c r="DN20" i="1"/>
  <c r="L58" i="18" s="1"/>
  <c r="V66" i="18"/>
  <c r="DN28" i="1"/>
  <c r="L66" i="18" s="1"/>
  <c r="CY28" i="1"/>
  <c r="CY30" i="1"/>
  <c r="DN30" i="1"/>
  <c r="L68" i="18" s="1"/>
  <c r="V68" i="18"/>
  <c r="CY34" i="1"/>
  <c r="V72" i="18"/>
  <c r="DN34" i="1"/>
  <c r="L72" i="18" s="1"/>
  <c r="CY43" i="1"/>
  <c r="V81" i="18"/>
  <c r="DN43" i="1"/>
  <c r="L81" i="18" s="1"/>
  <c r="V110" i="18"/>
  <c r="DN72" i="1"/>
  <c r="L110" i="18" s="1"/>
  <c r="CY72" i="1"/>
  <c r="V67" i="18"/>
  <c r="DN29" i="1"/>
  <c r="L67" i="18" s="1"/>
  <c r="CY29" i="1"/>
  <c r="DO26" i="17"/>
  <c r="CV26" i="17"/>
  <c r="C26" i="19"/>
  <c r="C36" i="19" s="1"/>
  <c r="C46" i="19" s="1"/>
  <c r="D14" i="18" s="1"/>
  <c r="DD26" i="17"/>
  <c r="D33" i="18" s="1"/>
  <c r="E23" i="19"/>
  <c r="E33" i="19" s="1"/>
  <c r="E43" i="19" s="1"/>
  <c r="DF23" i="17"/>
  <c r="DQ23" i="17"/>
  <c r="CZ23" i="17"/>
  <c r="DB23" i="17" s="1"/>
  <c r="DP25" i="17"/>
  <c r="D25" i="19"/>
  <c r="D35" i="19" s="1"/>
  <c r="D45" i="19" s="1"/>
  <c r="E13" i="18" s="1"/>
  <c r="DE25" i="17"/>
  <c r="E32" i="18" s="1"/>
  <c r="DF27" i="17"/>
  <c r="DQ27" i="17"/>
  <c r="E27" i="19"/>
  <c r="E37" i="19" s="1" a="1"/>
  <c r="E37" i="19" s="1"/>
  <c r="E47" i="19" s="1"/>
  <c r="CZ27" i="17"/>
  <c r="DB27" i="17" s="1"/>
  <c r="DJ25" i="17"/>
  <c r="I32" i="18" s="1"/>
  <c r="DU25" i="17"/>
  <c r="I25" i="19"/>
  <c r="I35" i="19" s="1"/>
  <c r="I45" i="19" s="1"/>
  <c r="I13" i="18" s="1"/>
  <c r="DI19" i="17"/>
  <c r="DT19" i="17"/>
  <c r="H19" i="19"/>
  <c r="H29" i="19" s="1"/>
  <c r="H39" i="19" s="1"/>
  <c r="DS24" i="17"/>
  <c r="G24" i="19"/>
  <c r="G34" i="19" s="1"/>
  <c r="G44" i="19" s="1"/>
  <c r="G12" i="18" s="1"/>
  <c r="DH24" i="17"/>
  <c r="G31" i="18" s="1"/>
  <c r="C21" i="19"/>
  <c r="C31" i="19" s="1"/>
  <c r="C41" i="19" s="1"/>
  <c r="D9" i="18" s="1"/>
  <c r="DO21" i="17"/>
  <c r="CV21" i="17"/>
  <c r="DD21" i="17"/>
  <c r="D28" i="18" s="1"/>
  <c r="DU22" i="17"/>
  <c r="I22" i="19"/>
  <c r="I32" i="19" s="1"/>
  <c r="I42" i="19" s="1"/>
  <c r="I10" i="18" s="1"/>
  <c r="DJ22" i="17"/>
  <c r="I29" i="18" s="1"/>
  <c r="DO25" i="17"/>
  <c r="C25" i="19"/>
  <c r="C35" i="19" s="1"/>
  <c r="C45" i="19" s="1"/>
  <c r="D13" i="18" s="1"/>
  <c r="DD25" i="17"/>
  <c r="D32" i="18" s="1"/>
  <c r="CV25" i="17"/>
  <c r="DO27" i="17"/>
  <c r="DD27" i="17"/>
  <c r="D34" i="18" s="1"/>
  <c r="CV27" i="17"/>
  <c r="C27" i="19"/>
  <c r="C37" i="19" s="1" a="1"/>
  <c r="C37" i="19" s="1"/>
  <c r="C47" i="19" s="1"/>
  <c r="D15" i="18" s="1"/>
  <c r="G20" i="19"/>
  <c r="G30" i="19" s="1"/>
  <c r="G40" i="19" s="1"/>
  <c r="G8" i="18" s="1"/>
  <c r="DS20" i="17"/>
  <c r="DH20" i="17"/>
  <c r="G27" i="18" s="1"/>
  <c r="DU19" i="17"/>
  <c r="DJ19" i="17"/>
  <c r="I19" i="19"/>
  <c r="I29" i="19" s="1"/>
  <c r="I39" i="19" s="1"/>
  <c r="V85" i="18"/>
  <c r="DN47" i="1"/>
  <c r="L85" i="18" s="1"/>
  <c r="CY47" i="1"/>
  <c r="DN65" i="1"/>
  <c r="L103" i="18" s="1"/>
  <c r="CY65" i="1"/>
  <c r="V103" i="18"/>
  <c r="V97" i="18"/>
  <c r="CY59" i="1"/>
  <c r="DN59" i="1"/>
  <c r="L97" i="18" s="1"/>
  <c r="DN19" i="1" l="1"/>
  <c r="L117" i="18" s="1"/>
  <c r="W117" i="18"/>
  <c r="V34" i="18"/>
  <c r="CX27" i="17"/>
  <c r="DM27" i="17"/>
  <c r="L34" i="18" s="1"/>
  <c r="W27" i="19"/>
  <c r="AA27" i="19" s="1"/>
  <c r="AD27" i="19" s="1"/>
  <c r="U97" i="18"/>
  <c r="O97" i="18"/>
  <c r="P97" i="18" s="1"/>
  <c r="U110" i="18"/>
  <c r="O110" i="18"/>
  <c r="P110" i="18" s="1"/>
  <c r="U72" i="18"/>
  <c r="O72" i="18"/>
  <c r="P72" i="18" s="1"/>
  <c r="U66" i="18"/>
  <c r="O66" i="18"/>
  <c r="P66" i="18" s="1"/>
  <c r="U111" i="18"/>
  <c r="O111" i="18"/>
  <c r="P111" i="18" s="1"/>
  <c r="U108" i="18"/>
  <c r="O108" i="18"/>
  <c r="P108" i="18" s="1"/>
  <c r="U104" i="18"/>
  <c r="O104" i="18"/>
  <c r="P104" i="18" s="1"/>
  <c r="U88" i="18"/>
  <c r="O88" i="18"/>
  <c r="P88" i="18" s="1"/>
  <c r="U91" i="18"/>
  <c r="O91" i="18"/>
  <c r="P91" i="18" s="1"/>
  <c r="U69" i="18"/>
  <c r="O69" i="18"/>
  <c r="P69" i="18" s="1"/>
  <c r="CX22" i="17"/>
  <c r="V29" i="18"/>
  <c r="DM22" i="17"/>
  <c r="L29" i="18" s="1"/>
  <c r="W22" i="19"/>
  <c r="AA22" i="19" s="1"/>
  <c r="AD22" i="19" s="1"/>
  <c r="CX24" i="17"/>
  <c r="V31" i="18"/>
  <c r="DM24" i="17"/>
  <c r="L31" i="18" s="1"/>
  <c r="W24" i="19"/>
  <c r="AA24" i="19" s="1"/>
  <c r="AD24" i="19" s="1"/>
  <c r="O77" i="18"/>
  <c r="P77" i="18" s="1"/>
  <c r="U77" i="18"/>
  <c r="U67" i="18"/>
  <c r="O67" i="18"/>
  <c r="P67" i="18" s="1"/>
  <c r="O81" i="18"/>
  <c r="P81" i="18" s="1"/>
  <c r="U81" i="18"/>
  <c r="U58" i="18"/>
  <c r="O58" i="18"/>
  <c r="P58" i="18" s="1"/>
  <c r="U79" i="18"/>
  <c r="O79" i="18"/>
  <c r="P79" i="18" s="1"/>
  <c r="U78" i="18"/>
  <c r="O78" i="18"/>
  <c r="P78" i="18" s="1"/>
  <c r="U60" i="18"/>
  <c r="O60" i="18"/>
  <c r="P60" i="18" s="1"/>
  <c r="U73" i="18"/>
  <c r="O73" i="18"/>
  <c r="P73" i="18" s="1"/>
  <c r="U101" i="18"/>
  <c r="O101" i="18"/>
  <c r="P101" i="18" s="1"/>
  <c r="O113" i="18"/>
  <c r="P113" i="18" s="1"/>
  <c r="U113" i="18"/>
  <c r="U80" i="18"/>
  <c r="O80" i="18"/>
  <c r="P80" i="18" s="1"/>
  <c r="O90" i="18"/>
  <c r="P90" i="18" s="1"/>
  <c r="U90" i="18"/>
  <c r="U70" i="18"/>
  <c r="O70" i="18"/>
  <c r="P70" i="18" s="1"/>
  <c r="U117" i="18"/>
  <c r="O117" i="18"/>
  <c r="P117" i="18" s="1"/>
  <c r="U94" i="18"/>
  <c r="O94" i="18"/>
  <c r="P94" i="18" s="1"/>
  <c r="U83" i="18"/>
  <c r="O83" i="18"/>
  <c r="P83" i="18" s="1"/>
  <c r="U74" i="18"/>
  <c r="O74" i="18"/>
  <c r="P74" i="18" s="1"/>
  <c r="O85" i="18"/>
  <c r="P85" i="18" s="1"/>
  <c r="U85" i="18"/>
  <c r="V32" i="18"/>
  <c r="CX25" i="17"/>
  <c r="DM25" i="17"/>
  <c r="L32" i="18" s="1"/>
  <c r="W25" i="19"/>
  <c r="AA25" i="19" s="1"/>
  <c r="AD25" i="19" s="1"/>
  <c r="U59" i="18"/>
  <c r="O59" i="18"/>
  <c r="P59" i="18" s="1"/>
  <c r="U92" i="18"/>
  <c r="O92" i="18"/>
  <c r="P92" i="18" s="1"/>
  <c r="U95" i="18"/>
  <c r="O95" i="18"/>
  <c r="P95" i="18" s="1"/>
  <c r="U107" i="18"/>
  <c r="O107" i="18" a="1"/>
  <c r="O107" i="18" s="1"/>
  <c r="P107" i="18" s="1"/>
  <c r="U99" i="18"/>
  <c r="O99" i="18"/>
  <c r="P99" i="18" s="1"/>
  <c r="U63" i="18"/>
  <c r="O63" i="18"/>
  <c r="P63" i="18" s="1"/>
  <c r="U100" i="18"/>
  <c r="O100" i="18"/>
  <c r="P100" i="18" s="1"/>
  <c r="U61" i="18"/>
  <c r="O61" i="18"/>
  <c r="P61" i="18" s="1"/>
  <c r="O84" i="18"/>
  <c r="P84" i="18" s="1"/>
  <c r="U84" i="18"/>
  <c r="O96" i="18"/>
  <c r="P96" i="18" s="1"/>
  <c r="U96" i="18"/>
  <c r="W19" i="19"/>
  <c r="DM19" i="17"/>
  <c r="CX19" i="17"/>
  <c r="DZ19" i="17" s="1"/>
  <c r="U89" i="18"/>
  <c r="O89" i="18"/>
  <c r="P89" i="18" s="1"/>
  <c r="U82" i="18"/>
  <c r="O82" i="18"/>
  <c r="P82" i="18" s="1"/>
  <c r="U106" i="18"/>
  <c r="O106" i="18"/>
  <c r="P106" i="18" s="1"/>
  <c r="CX21" i="17"/>
  <c r="V28" i="18"/>
  <c r="DM21" i="17"/>
  <c r="L28" i="18" s="1"/>
  <c r="W21" i="19"/>
  <c r="AA21" i="19" s="1"/>
  <c r="AD21" i="19" s="1"/>
  <c r="U103" i="18"/>
  <c r="O103" i="18"/>
  <c r="P103" i="18" s="1"/>
  <c r="CX26" i="17"/>
  <c r="V33" i="18"/>
  <c r="DM26" i="17"/>
  <c r="L33" i="18" s="1"/>
  <c r="W26" i="19"/>
  <c r="AA26" i="19" s="1"/>
  <c r="AD26" i="19" s="1"/>
  <c r="U68" i="18"/>
  <c r="O68" i="18"/>
  <c r="P68" i="18" s="1"/>
  <c r="U71" i="18"/>
  <c r="O71" i="18"/>
  <c r="P71" i="18" s="1"/>
  <c r="U112" i="18"/>
  <c r="O112" i="18"/>
  <c r="P112" i="18" s="1"/>
  <c r="U87" i="18"/>
  <c r="O87" i="18"/>
  <c r="P87" i="18" s="1"/>
  <c r="O76" i="18"/>
  <c r="P76" i="18" s="1"/>
  <c r="U76" i="18"/>
  <c r="CX20" i="17"/>
  <c r="V27" i="18"/>
  <c r="DM20" i="17"/>
  <c r="L27" i="18" s="1"/>
  <c r="W20" i="19"/>
  <c r="AA20" i="19" s="1"/>
  <c r="AD20" i="19" s="1"/>
  <c r="O62" i="18"/>
  <c r="P62" i="18" s="1"/>
  <c r="U62" i="18"/>
  <c r="U109" i="18"/>
  <c r="O109" i="18"/>
  <c r="P109" i="18" s="1"/>
  <c r="U102" i="18"/>
  <c r="O102" i="18"/>
  <c r="P102" i="18" s="1"/>
  <c r="U105" i="18"/>
  <c r="O105" i="18"/>
  <c r="P105" i="18" s="1"/>
  <c r="U75" i="18"/>
  <c r="O75" i="18"/>
  <c r="P75" i="18" s="1"/>
  <c r="CX23" i="17"/>
  <c r="DM23" i="17"/>
  <c r="L30" i="18" s="1"/>
  <c r="V30" i="18"/>
  <c r="W23" i="19"/>
  <c r="AA23" i="19" s="1"/>
  <c r="AD23" i="19" s="1"/>
  <c r="U65" i="18"/>
  <c r="O65" i="18"/>
  <c r="P65" i="18" s="1"/>
  <c r="U64" i="18"/>
  <c r="O64" i="18"/>
  <c r="P64" i="18" s="1"/>
  <c r="O98" i="18"/>
  <c r="P98" i="18" s="1"/>
  <c r="U98" i="18"/>
  <c r="O93" i="18"/>
  <c r="P93" i="18" s="1"/>
  <c r="U93" i="18"/>
  <c r="O86" i="18"/>
  <c r="P86" i="18" s="1"/>
  <c r="U86" i="18"/>
  <c r="O33" i="18" l="1"/>
  <c r="W36" i="19"/>
  <c r="O27" i="18"/>
  <c r="W30" i="19"/>
  <c r="O28" i="18"/>
  <c r="W31" i="19"/>
  <c r="U30" i="18"/>
  <c r="DZ23" i="17"/>
  <c r="DZ26" i="17"/>
  <c r="U33" i="18"/>
  <c r="O32" i="18"/>
  <c r="W35" i="19"/>
  <c r="O31" i="18"/>
  <c r="W34" i="19"/>
  <c r="O29" i="18"/>
  <c r="W32" i="19"/>
  <c r="O34" i="18"/>
  <c r="W37" i="19"/>
  <c r="O30" i="18"/>
  <c r="W33" i="19"/>
  <c r="DZ20" i="17"/>
  <c r="U27" i="18"/>
  <c r="DZ21" i="17"/>
  <c r="U28" i="18"/>
  <c r="U32" i="18"/>
  <c r="DZ25" i="17"/>
  <c r="DZ27" i="17"/>
  <c r="U34" i="18"/>
  <c r="W29" i="19"/>
  <c r="AA19" i="19"/>
  <c r="DZ24" i="17"/>
  <c r="U31" i="18"/>
  <c r="DZ22" i="17"/>
  <c r="U29" i="18"/>
  <c r="O11" i="18" l="1"/>
  <c r="P11" i="18" s="1"/>
  <c r="AA33" i="19"/>
  <c r="AA43" i="19" s="1"/>
  <c r="W43" i="19"/>
  <c r="L11" i="18" s="1"/>
  <c r="AA32" i="19"/>
  <c r="AA42" i="19" s="1"/>
  <c r="O10" i="18"/>
  <c r="P10" i="18" s="1"/>
  <c r="W42" i="19"/>
  <c r="L10" i="18" s="1"/>
  <c r="O13" i="18"/>
  <c r="P13" i="18" s="1"/>
  <c r="AA35" i="19"/>
  <c r="AA45" i="19" s="1"/>
  <c r="W45" i="19"/>
  <c r="L13" i="18" s="1"/>
  <c r="O8" i="18"/>
  <c r="P8" i="18" s="1"/>
  <c r="AA30" i="19"/>
  <c r="AA40" i="19" s="1"/>
  <c r="W40" i="19"/>
  <c r="L8" i="18" s="1"/>
  <c r="O15" i="18"/>
  <c r="P15" i="18" s="1"/>
  <c r="W47" i="19"/>
  <c r="L15" i="18" s="1"/>
  <c r="AA37" i="19"/>
  <c r="AA47" i="19" s="1"/>
  <c r="AA34" i="19"/>
  <c r="AA44" i="19" s="1"/>
  <c r="O12" i="18"/>
  <c r="P12" i="18" s="1"/>
  <c r="W44" i="19"/>
  <c r="L12" i="18" s="1"/>
  <c r="W41" i="19"/>
  <c r="L9" i="18" s="1"/>
  <c r="AA31" i="19"/>
  <c r="AA41" i="19" s="1"/>
  <c r="O9" i="18"/>
  <c r="P9" i="18" s="1"/>
  <c r="W46" i="19"/>
  <c r="L14" i="18" s="1"/>
  <c r="AA36" i="19"/>
  <c r="AA46" i="19" s="1"/>
  <c r="O14" i="18"/>
  <c r="P14" i="18" s="1"/>
  <c r="W39" i="19"/>
  <c r="AA39" i="19"/>
</calcChain>
</file>

<file path=xl/comments1.xml><?xml version="1.0" encoding="utf-8"?>
<comments xmlns="http://schemas.openxmlformats.org/spreadsheetml/2006/main">
  <authors>
    <author>Автор</author>
    <author>Дарья Сергеевна Тютюнникова</author>
  </authors>
  <commentList>
    <comment ref="F9" authorId="0" shapeId="0">
      <text>
        <r>
          <rPr>
            <b/>
            <sz val="14"/>
            <color indexed="81"/>
            <rFont val="Tahoma"/>
            <family val="2"/>
            <charset val="204"/>
          </rPr>
          <t>- оценить значением от 0 до 100
- нет журнала = пустое поле</t>
        </r>
      </text>
    </comment>
    <comment ref="D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F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CC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BQ37" authorId="1" shapeId="0">
      <text>
        <r>
          <rPr>
            <b/>
            <sz val="9"/>
            <color indexed="81"/>
            <rFont val="Tahoma"/>
            <family val="2"/>
            <charset val="204"/>
          </rPr>
          <t>В связи с разделением кафедры</t>
        </r>
      </text>
    </comment>
    <comment ref="BQ42" authorId="1" shapeId="0">
      <text>
        <r>
          <rPr>
            <b/>
            <sz val="9"/>
            <color indexed="81"/>
            <rFont val="Tahoma"/>
            <family val="2"/>
            <charset val="204"/>
          </rPr>
          <t>В связи с сокращением ставок</t>
        </r>
      </text>
    </comment>
    <comment ref="BQ75" authorId="1" shapeId="0">
      <text>
        <r>
          <rPr>
            <b/>
            <sz val="10"/>
            <color indexed="81"/>
            <rFont val="Tahoma"/>
            <family val="2"/>
            <charset val="204"/>
          </rPr>
          <t>Все ставки заняты</t>
        </r>
      </text>
    </comment>
  </commentList>
</comments>
</file>

<file path=xl/comments10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11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12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13.xml><?xml version="1.0" encoding="utf-8"?>
<comments xmlns="http://schemas.openxmlformats.org/spreadsheetml/2006/main">
  <authors>
    <author>Автор</author>
  </authors>
  <commentList>
    <comment ref="BH9" authorId="0" shapeId="0">
      <text>
        <r>
          <rPr>
            <b/>
            <sz val="14"/>
            <color indexed="81"/>
            <rFont val="Tahoma"/>
            <family val="2"/>
            <charset val="204"/>
          </rPr>
          <t>- сумма по кафедре и ППС не связаны;
- заполнять поле в рублях</t>
        </r>
      </text>
    </comment>
    <comment ref="BL9" authorId="0" shapeId="0">
      <text>
        <r>
          <rPr>
            <b/>
            <sz val="14"/>
            <color indexed="81"/>
            <rFont val="Tahoma"/>
            <family val="2"/>
            <charset val="204"/>
          </rPr>
          <t>- сумма по кафедре и ППС не связаны;
- заполнять поле в рублях</t>
        </r>
      </text>
    </comment>
    <comment ref="D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CO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CB22" authorId="0" shapeId="0">
      <text>
        <r>
          <rPr>
            <b/>
            <sz val="14"/>
            <color indexed="81"/>
            <rFont val="Tahoma"/>
            <family val="2"/>
            <charset val="204"/>
          </rPr>
          <t xml:space="preserve">без кафедры физкультуры
</t>
        </r>
      </text>
    </comment>
  </commentList>
</comments>
</file>

<file path=xl/comments14.xml><?xml version="1.0" encoding="utf-8"?>
<comments xmlns="http://schemas.openxmlformats.org/spreadsheetml/2006/main">
  <authors>
    <author>Автор</author>
  </authors>
  <commentList>
    <comment ref="F6" authorId="0" shapeId="0">
      <text>
        <r>
          <rPr>
            <b/>
            <sz val="14"/>
            <color indexed="81"/>
            <rFont val="Tahoma"/>
            <family val="2"/>
            <charset val="204"/>
          </rPr>
          <t>- перейти по ссылке на другой лист</t>
        </r>
      </text>
    </comment>
    <comment ref="D7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15.xml><?xml version="1.0" encoding="utf-8"?>
<comments xmlns="http://schemas.openxmlformats.org/spreadsheetml/2006/main">
  <authors>
    <author>Дарья Сергеевна Тютюнникова</author>
  </authors>
  <commentList>
    <comment ref="M58" authorId="0" shapeId="0">
      <text>
        <r>
          <rPr>
            <b/>
            <sz val="12"/>
            <color indexed="81"/>
            <rFont val="Tahoma"/>
            <family val="2"/>
            <charset val="204"/>
          </rPr>
          <t>+12% за подготовку призеров из числа обучающихся в Международной конференции и олимпиаде</t>
        </r>
      </text>
    </comment>
    <comment ref="M59" authorId="0" shapeId="0">
      <text>
        <r>
          <rPr>
            <b/>
            <sz val="12"/>
            <color indexed="81"/>
            <rFont val="Tahoma"/>
            <family val="2"/>
            <charset val="204"/>
          </rPr>
          <t>+4% за подготовку призеров из числа обучающихся в Всероссийских олимпиадах</t>
        </r>
      </text>
    </comment>
    <comment ref="M61" authorId="0" shapeId="0">
      <text>
        <r>
          <rPr>
            <b/>
            <sz val="12"/>
            <color indexed="81"/>
            <rFont val="Tahoma"/>
            <family val="2"/>
            <charset val="204"/>
          </rPr>
          <t>+30% за подготовку призеров из числа обучающихся в Всероссийской олимпиаде с Международным участием
+2% за участие ППС кафедры в мероприятиях международной академической мобильности</t>
        </r>
      </text>
    </comment>
    <comment ref="M64" authorId="0" shapeId="0">
      <text>
        <r>
          <rPr>
            <b/>
            <sz val="12"/>
            <color indexed="81"/>
            <rFont val="Tahoma"/>
            <family val="2"/>
            <charset val="204"/>
          </rPr>
          <t>+3% за привлечяение внебюджетных средств</t>
        </r>
      </text>
    </comment>
    <comment ref="M80" authorId="0" shapeId="0">
      <text>
        <r>
          <rPr>
            <b/>
            <sz val="12"/>
            <color indexed="81"/>
            <rFont val="Tahoma"/>
            <family val="2"/>
            <charset val="204"/>
          </rPr>
          <t>+3% за подготовку призеров из числа обучающихся в Международной олимпиаде</t>
        </r>
      </text>
    </comment>
    <comment ref="M81" authorId="0" shapeId="0">
      <text>
        <r>
          <rPr>
            <b/>
            <sz val="12"/>
            <color indexed="81"/>
            <rFont val="Tahoma"/>
            <family val="2"/>
            <charset val="204"/>
          </rPr>
          <t>+2% за подготовку к участию и участие обучающихся во внеплановой Международной конференции
+3% за подготовку призеров из числа обучающихся в Международной научно-практической конференции</t>
        </r>
      </text>
    </comment>
    <comment ref="M83" authorId="0" shapeId="0">
      <text>
        <r>
          <rPr>
            <b/>
            <sz val="12"/>
            <color indexed="81"/>
            <rFont val="Tahoma"/>
            <family val="2"/>
            <charset val="204"/>
          </rPr>
          <t>+2% за подготовку к участию и участие обучающихся во внеплановой Международной конференции
+3% за подготовку призеров из числа обучающихся в Международной научно-практической конференции</t>
        </r>
      </text>
    </comment>
    <comment ref="M85" authorId="0" shapeId="0">
      <text>
        <r>
          <rPr>
            <b/>
            <sz val="12"/>
            <color indexed="81"/>
            <rFont val="Tahoma"/>
            <family val="2"/>
            <charset val="204"/>
          </rPr>
          <t>+2% за подготовку к участию и участие обучающихся во внеплановой Международной конференции</t>
        </r>
      </text>
    </comment>
    <comment ref="M87" authorId="0" shapeId="0">
      <text>
        <r>
          <rPr>
            <b/>
            <sz val="12"/>
            <color indexed="81"/>
            <rFont val="Tahoma"/>
            <family val="2"/>
            <charset val="204"/>
          </rPr>
          <t>+2% За участие во входящей мобильности</t>
        </r>
      </text>
    </comment>
    <comment ref="M94" authorId="0" shapeId="0">
      <text>
        <r>
          <rPr>
            <b/>
            <sz val="12"/>
            <color indexed="81"/>
            <rFont val="Tahoma"/>
            <family val="2"/>
            <charset val="204"/>
          </rPr>
          <t>+4% за работу в формате академической мобильности</t>
        </r>
      </text>
    </comment>
    <comment ref="N97" authorId="0" shapeId="0">
      <text>
        <r>
          <rPr>
            <b/>
            <sz val="14"/>
            <color indexed="81"/>
            <rFont val="Tahoma"/>
            <family val="2"/>
            <charset val="204"/>
          </rPr>
          <t>-3% невыполнение плана корректирующих мероприятий по профориентационной работе</t>
        </r>
      </text>
    </comment>
    <comment ref="M103" authorId="0" shapeId="0">
      <text>
        <r>
          <rPr>
            <b/>
            <sz val="12"/>
            <color indexed="81"/>
            <rFont val="Tahoma"/>
            <family val="2"/>
            <charset val="204"/>
          </rPr>
          <t>+2% за организацию методического мероприятия в виде мастер-класса по вопросам повышенного уровня сложности ЕГЭ 2024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F9" authorId="0" shapeId="0">
      <text>
        <r>
          <rPr>
            <b/>
            <sz val="14"/>
            <color indexed="81"/>
            <rFont val="Tahoma"/>
            <family val="2"/>
            <charset val="204"/>
          </rPr>
          <t>- оценить значением от 0 до 100
- нет журнала = пустое поле</t>
        </r>
      </text>
    </comment>
    <comment ref="K9" authorId="0" shapeId="0">
      <text>
        <r>
          <rPr>
            <b/>
            <sz val="14"/>
            <color indexed="81"/>
            <rFont val="Tahoma"/>
            <family val="2"/>
            <charset val="204"/>
          </rPr>
          <t>- перейти по ссылке на другой лист</t>
        </r>
      </text>
    </comment>
    <comment ref="N9" authorId="0" shapeId="0">
      <text>
        <r>
          <rPr>
            <b/>
            <sz val="14"/>
            <color indexed="81"/>
            <rFont val="Tahoma"/>
            <family val="2"/>
            <charset val="204"/>
          </rPr>
          <t>- перейти по ссылке на другой лист</t>
        </r>
      </text>
    </comment>
    <comment ref="AE9" authorId="0" shapeId="0">
      <text>
        <r>
          <rPr>
            <b/>
            <sz val="14"/>
            <color indexed="81"/>
            <rFont val="Tahoma"/>
            <family val="2"/>
            <charset val="204"/>
          </rPr>
          <t>- вносить целочисленные значения</t>
        </r>
      </text>
    </comment>
    <comment ref="AH9" authorId="0" shapeId="0">
      <text>
        <r>
          <rPr>
            <b/>
            <sz val="14"/>
            <color indexed="81"/>
            <rFont val="Tahoma"/>
            <family val="2"/>
            <charset val="204"/>
          </rPr>
          <t>- вносить целочисленные значения</t>
        </r>
      </text>
    </comment>
    <comment ref="AK9" authorId="0" shapeId="0">
      <text>
        <r>
          <rPr>
            <b/>
            <sz val="14"/>
            <color indexed="81"/>
            <rFont val="Tahoma"/>
            <family val="2"/>
            <charset val="204"/>
          </rPr>
          <t>- перейти по ссылке на другой лист</t>
        </r>
      </text>
    </comment>
    <comment ref="AO9" authorId="0" shapeId="0">
      <text>
        <r>
          <rPr>
            <b/>
            <sz val="14"/>
            <color indexed="81"/>
            <rFont val="Tahoma"/>
            <family val="2"/>
            <charset val="204"/>
          </rPr>
          <t>- перейти по ссылке на другой лист</t>
        </r>
      </text>
    </comment>
    <comment ref="AR9" authorId="0" shapeId="0">
      <text>
        <r>
          <rPr>
            <b/>
            <sz val="14"/>
            <color indexed="81"/>
            <rFont val="Tahoma"/>
            <family val="2"/>
            <charset val="204"/>
          </rPr>
          <t>- сумма по кафедре и ППС не связаны;
- заполнять поле в рублях</t>
        </r>
      </text>
    </comment>
    <comment ref="BA9" authorId="0" shapeId="0">
      <text>
        <r>
          <rPr>
            <b/>
            <sz val="14"/>
            <color indexed="81"/>
            <rFont val="Tahoma"/>
            <family val="2"/>
            <charset val="204"/>
          </rPr>
          <t>- сумма по кафедре и ППС не связаны;
- заполнять поле в рублях</t>
        </r>
      </text>
    </comment>
    <comment ref="BE9" authorId="0" shapeId="0">
      <text>
        <r>
          <rPr>
            <b/>
            <sz val="14"/>
            <color indexed="81"/>
            <rFont val="Tahoma"/>
            <family val="2"/>
            <charset val="204"/>
          </rPr>
          <t>- сумма по кафедре и ППС не связаны;
- заполнять поле в рублях</t>
        </r>
      </text>
    </comment>
    <comment ref="BK9" authorId="0" shapeId="0">
      <text>
        <r>
          <rPr>
            <b/>
            <sz val="14"/>
            <color indexed="81"/>
            <rFont val="Tahoma"/>
            <family val="2"/>
            <charset val="204"/>
          </rPr>
          <t>- при заполнении поля можно использовать дробные значения</t>
        </r>
      </text>
    </comment>
    <comment ref="BN9" authorId="0" shapeId="0">
      <text>
        <r>
          <rPr>
            <b/>
            <sz val="14"/>
            <color indexed="81"/>
            <rFont val="Tahoma"/>
            <family val="2"/>
            <charset val="204"/>
          </rPr>
          <t>- сумма по кафедре и ППС не связаны;
- при заполнении поля можно использовать дробные значения</t>
        </r>
      </text>
    </comment>
    <comment ref="BR9" authorId="0" shapeId="0">
      <text>
        <r>
          <rPr>
            <b/>
            <sz val="14"/>
            <color indexed="81"/>
            <rFont val="Tahoma"/>
            <family val="2"/>
            <charset val="204"/>
          </rPr>
          <t>- при заполнении поля можно использовать дробные значения</t>
        </r>
      </text>
    </comment>
    <comment ref="BY9" authorId="0" shapeId="0">
      <text>
        <r>
          <rPr>
            <b/>
            <sz val="14"/>
            <color indexed="81"/>
            <rFont val="Tahoma"/>
            <family val="2"/>
            <charset val="204"/>
          </rPr>
          <t>- сумма по кафедре и ППС не связаны;
- при заполнении поля можно использовать дробные значения</t>
        </r>
      </text>
    </comment>
    <comment ref="D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F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CC10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3.xml><?xml version="1.0" encoding="utf-8"?>
<comments xmlns="http://schemas.openxmlformats.org/spreadsheetml/2006/main">
  <authors>
    <author>Автор</author>
    <author>Дарья Сергеевна Тютюнникова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  <comment ref="P57" authorId="1" shapeId="0">
      <text>
        <r>
          <rPr>
            <b/>
            <sz val="9"/>
            <color indexed="81"/>
            <rFont val="Tahoma"/>
            <family val="2"/>
            <charset val="204"/>
          </rPr>
          <t>+0,25 по служебной записке</t>
        </r>
      </text>
    </comment>
  </commentList>
</comments>
</file>

<file path=xl/comments4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5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6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7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8.xml><?xml version="1.0" encoding="utf-8"?>
<comments xmlns="http://schemas.openxmlformats.org/spreadsheetml/2006/main">
  <authors>
    <author>Автор</author>
  </authors>
  <commentList>
    <comment ref="B13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comments9.xml><?xml version="1.0" encoding="utf-8"?>
<comments xmlns="http://schemas.openxmlformats.org/spreadsheetml/2006/main">
  <authors>
    <author>Автор</author>
  </authors>
  <commentList>
    <comment ref="B14" authorId="0" shapeId="0">
      <text>
        <r>
          <rPr>
            <b/>
            <sz val="14"/>
            <color indexed="81"/>
            <rFont val="Tahoma"/>
            <family val="2"/>
            <charset val="204"/>
          </rPr>
          <t>Оценить в диапазоне от 0 до 100 (%)</t>
        </r>
      </text>
    </comment>
  </commentList>
</comments>
</file>

<file path=xl/sharedStrings.xml><?xml version="1.0" encoding="utf-8"?>
<sst xmlns="http://schemas.openxmlformats.org/spreadsheetml/2006/main" count="3633" uniqueCount="1205">
  <si>
    <t>Должность</t>
  </si>
  <si>
    <t>Профессор</t>
  </si>
  <si>
    <t>Доцент</t>
  </si>
  <si>
    <t>Факультет:</t>
  </si>
  <si>
    <t>Кафедра:</t>
  </si>
  <si>
    <t>баллы</t>
  </si>
  <si>
    <t>% выполнения</t>
  </si>
  <si>
    <t>Заведующий кафедрой</t>
  </si>
  <si>
    <t>вес внути показателя</t>
  </si>
  <si>
    <t>Научная деятельность</t>
  </si>
  <si>
    <t>Дисциплина</t>
  </si>
  <si>
    <t>Учебная и учебно-методическая деятельность</t>
  </si>
  <si>
    <t>Кадры</t>
  </si>
  <si>
    <t>вес вида деятельности (группы)</t>
  </si>
  <si>
    <t>вес показателя внутри группы</t>
  </si>
  <si>
    <t>Наличие ДПО</t>
  </si>
  <si>
    <t>Да</t>
  </si>
  <si>
    <t>Наличие Аспирантуры</t>
  </si>
  <si>
    <t>Наличие Ординатуры</t>
  </si>
  <si>
    <t>Профориентационная и воспитательная деятельность</t>
  </si>
  <si>
    <t xml:space="preserve">Деятельность, направленная на работу с кадровым составом кафедры </t>
  </si>
  <si>
    <t>Доля внутреннего совместительства по кафедре (в среднем по ставкам)</t>
  </si>
  <si>
    <t>% остепененности</t>
  </si>
  <si>
    <t>% остепененности внешних совместителей</t>
  </si>
  <si>
    <t>Количество остепененных ставок</t>
  </si>
  <si>
    <t>Количество ставок внешних совместителей</t>
  </si>
  <si>
    <t>% внешнего совместительства</t>
  </si>
  <si>
    <t>% внутреннего совместительства</t>
  </si>
  <si>
    <t>вес</t>
  </si>
  <si>
    <t>ДПО</t>
  </si>
  <si>
    <t>Наличие Довузовской подготовки</t>
  </si>
  <si>
    <t>Нет</t>
  </si>
  <si>
    <t>Фактическое количество ППС (основных)</t>
  </si>
  <si>
    <t>Доля внутреннего совместительства</t>
  </si>
  <si>
    <t>% НЕ внешнего совместительства            (100-х)</t>
  </si>
  <si>
    <t>для кафедры</t>
  </si>
  <si>
    <t>шкала</t>
  </si>
  <si>
    <t>Ассистент</t>
  </si>
  <si>
    <t>ДаНет</t>
  </si>
  <si>
    <t>вес показателя абс</t>
  </si>
  <si>
    <t>о</t>
  </si>
  <si>
    <t>%</t>
  </si>
  <si>
    <t>верхняя граница</t>
  </si>
  <si>
    <t>нижняя граница</t>
  </si>
  <si>
    <t>Преподаватель, старший преподаватель</t>
  </si>
  <si>
    <t>с</t>
  </si>
  <si>
    <t>Н</t>
  </si>
  <si>
    <t>Д</t>
  </si>
  <si>
    <t>ПОВД</t>
  </si>
  <si>
    <t>ЭФ</t>
  </si>
  <si>
    <t>К</t>
  </si>
  <si>
    <t>УМ</t>
  </si>
  <si>
    <t>УМбезДПО</t>
  </si>
  <si>
    <t>факт</t>
  </si>
  <si>
    <t>метка графы итога</t>
  </si>
  <si>
    <t>все с дпо</t>
  </si>
  <si>
    <t>все без дпо</t>
  </si>
  <si>
    <t>было</t>
  </si>
  <si>
    <t>максимум возможный</t>
  </si>
  <si>
    <t>факт с ДПО</t>
  </si>
  <si>
    <t>факт без ДПО</t>
  </si>
  <si>
    <t>Итоговый пересчитанный %</t>
  </si>
  <si>
    <t>сДПО</t>
  </si>
  <si>
    <t>без ДПО</t>
  </si>
  <si>
    <t>При расчете показателя учитывается активность ППС кафедры</t>
  </si>
  <si>
    <t>нет</t>
  </si>
  <si>
    <t>с учетом "нет"</t>
  </si>
  <si>
    <t>в рублях</t>
  </si>
  <si>
    <t>УМД</t>
  </si>
  <si>
    <t>УМД без ДПО</t>
  </si>
  <si>
    <t>Наука</t>
  </si>
  <si>
    <t>Профориентация и ВД</t>
  </si>
  <si>
    <t>Экономика</t>
  </si>
  <si>
    <t>сумма по кафедре и ППС не связаны</t>
  </si>
  <si>
    <t xml:space="preserve">Впишите название факультет </t>
  </si>
  <si>
    <t>Кафедра Впишите название</t>
  </si>
  <si>
    <t>← на общую страницу</t>
  </si>
  <si>
    <t>расчет ИДО по СК-ПВД-2.3-8.1-17</t>
  </si>
  <si>
    <t>При заполнении показателя вносить целочисленные значения (количество работ, событий)</t>
  </si>
  <si>
    <t>Общий итог (в 100% шкале)</t>
  </si>
  <si>
    <t>Фактическое выполнение критериев 1-3</t>
  </si>
  <si>
    <t>День открытых дверей</t>
  </si>
  <si>
    <t xml:space="preserve">Университетские субботы
</t>
  </si>
  <si>
    <t>Школа здоровья</t>
  </si>
  <si>
    <t xml:space="preserve">Выезды в районы </t>
  </si>
  <si>
    <t>Участие в ярмарках</t>
  </si>
  <si>
    <t>Работа в жюри</t>
  </si>
  <si>
    <t>Внутренний совместитель</t>
  </si>
  <si>
    <t>почасовка</t>
  </si>
  <si>
    <t>это ДПО</t>
  </si>
  <si>
    <t>сумма по кафедрам</t>
  </si>
  <si>
    <t>название факультета</t>
  </si>
  <si>
    <t>Акушерства и гинекологии с курсом ДПО</t>
  </si>
  <si>
    <t>Госпитальной терапии и эндокринологии</t>
  </si>
  <si>
    <t>Терапии и общей врачебной практики с курсом ДПО</t>
  </si>
  <si>
    <t>Общей хирургии, оперативной хирургии и топографической анатомии</t>
  </si>
  <si>
    <t>Пропедевтики внутренних болезней имени профессора З.С. Баркагана</t>
  </si>
  <si>
    <t>Сестринского дела</t>
  </si>
  <si>
    <t>Анатомии</t>
  </si>
  <si>
    <t>Судебной медицины имени профессора В.Н. Крюкова и патологической анатомии с курсом ДПО</t>
  </si>
  <si>
    <t>Пропедевтики детских болезней</t>
  </si>
  <si>
    <t>Физической культуры и здорового образа жизни</t>
  </si>
  <si>
    <t>Патологической физиологии</t>
  </si>
  <si>
    <t>Терапевтической стоматологии</t>
  </si>
  <si>
    <t>Физики и информатики</t>
  </si>
  <si>
    <t>Стоматологии детского возраста</t>
  </si>
  <si>
    <t>Ортопедической стоматологии</t>
  </si>
  <si>
    <t>Нормальной физиологии</t>
  </si>
  <si>
    <t>СТОМ</t>
  </si>
  <si>
    <t>Эпидемиологии, микробиологии и вирусологии</t>
  </si>
  <si>
    <t>Дерматовенерологии, косметологии и иммунологии</t>
  </si>
  <si>
    <t>Общественного здоровья и здравоохранения</t>
  </si>
  <si>
    <t>Биологии, гистологии, эмбриологии и цитологии</t>
  </si>
  <si>
    <t>Фармации</t>
  </si>
  <si>
    <t>ФАРМ</t>
  </si>
  <si>
    <t>Иностранных языков с курсом латинского языка</t>
  </si>
  <si>
    <t>Русского языка как иностранного</t>
  </si>
  <si>
    <t>ФИС</t>
  </si>
  <si>
    <t>Общее количество ставок</t>
  </si>
  <si>
    <t>наличие ДПО</t>
  </si>
  <si>
    <t>факультет</t>
  </si>
  <si>
    <t>% выполнения плана</t>
  </si>
  <si>
    <t>Фактическое выполнение критерия 1</t>
  </si>
  <si>
    <t>Фактическое выполнение критерия 2</t>
  </si>
  <si>
    <t>Фактическое выполнение критерия 3</t>
  </si>
  <si>
    <t>Внутривузовские учебно-методические мероприятия</t>
  </si>
  <si>
    <t>конференция</t>
  </si>
  <si>
    <t>семинар</t>
  </si>
  <si>
    <t>круглый стол</t>
  </si>
  <si>
    <t>Образовательные мероприятия НМО</t>
  </si>
  <si>
    <t>Образовательное мероприятие НМО</t>
  </si>
  <si>
    <t>Организация всероссийской, региональной,  внутривузовской олимпиады для студентов</t>
  </si>
  <si>
    <t>ВВУММ</t>
  </si>
  <si>
    <t>НМО</t>
  </si>
  <si>
    <t>Проведено за отчетный период</t>
  </si>
  <si>
    <t>Запланировано за отчетный период</t>
  </si>
  <si>
    <t>ОЛИМПИАДА</t>
  </si>
  <si>
    <t>ДР</t>
  </si>
  <si>
    <t>Фактическое выполнение подгруппы показателей (количество)</t>
  </si>
  <si>
    <t>Всероссийские, региональные,  внутривузовские олимпиады для студентов</t>
  </si>
  <si>
    <t>Фактическое количество организованных и проведенных мероприятий</t>
  </si>
  <si>
    <t>Фактическое количество организованных и проведенных олимпиад</t>
  </si>
  <si>
    <t>Плановое количество</t>
  </si>
  <si>
    <t>Критерий 2</t>
  </si>
  <si>
    <t>скрыть</t>
  </si>
  <si>
    <t>Критерий 3</t>
  </si>
  <si>
    <t>Плановое количество мероприятий</t>
  </si>
  <si>
    <t>х</t>
  </si>
  <si>
    <t>Общее количество занятых ставок кафедры всеми ППС</t>
  </si>
  <si>
    <t>квартал 1</t>
  </si>
  <si>
    <t>квартал 2</t>
  </si>
  <si>
    <t>квартал 3</t>
  </si>
  <si>
    <t>квартал 4</t>
  </si>
  <si>
    <t>Публикационная активность ППС кафедры</t>
  </si>
  <si>
    <t>в журналах, рецензируемых ВАК</t>
  </si>
  <si>
    <t xml:space="preserve"> в журналах, индексируемых в базах данных Web of Science</t>
  </si>
  <si>
    <t>в журналах, индексируемых в базах данных Scopus</t>
  </si>
  <si>
    <t>БМН</t>
  </si>
  <si>
    <t>ВАК</t>
  </si>
  <si>
    <t>ВЕБ</t>
  </si>
  <si>
    <t>СКОПУС</t>
  </si>
  <si>
    <t>Мероприятия ВУЗа</t>
  </si>
  <si>
    <t>Фактическое выполнение подгруппы показателей (%) от плана</t>
  </si>
  <si>
    <t xml:space="preserve">Процент остепенённости ППС кафедры по основным работникам (по приведенным к целочисленным значениям ставок) </t>
  </si>
  <si>
    <r>
      <t xml:space="preserve">↑  </t>
    </r>
    <r>
      <rPr>
        <b/>
        <u/>
        <sz val="16"/>
        <color theme="10"/>
        <rFont val="Verdana"/>
        <family val="2"/>
        <charset val="204"/>
      </rPr>
      <t>На титульный лист</t>
    </r>
  </si>
  <si>
    <t>↓ссылка на лист данных</t>
  </si>
  <si>
    <t>Спортивные мероприятия</t>
  </si>
  <si>
    <t>Творческие мероприятия</t>
  </si>
  <si>
    <t>Кураторские мероприятия</t>
  </si>
  <si>
    <t>Университетские (общие) мероприятия</t>
  </si>
  <si>
    <t>Организация культурно-развлекательных мероприятий вуза, направленных на формирование здорового образа жизни у обучающихся</t>
  </si>
  <si>
    <t>трудозатраты на событие (ч/часов):</t>
  </si>
  <si>
    <r>
      <t xml:space="preserve">Важно: </t>
    </r>
    <r>
      <rPr>
        <b/>
        <sz val="18"/>
        <color rgb="FF0000FF"/>
        <rFont val="Verdana"/>
        <family val="2"/>
        <charset val="204"/>
      </rPr>
      <t>все данные вносить только в поля</t>
    </r>
    <r>
      <rPr>
        <b/>
        <sz val="18"/>
        <color rgb="FFFF0000"/>
        <rFont val="Verdana"/>
        <family val="2"/>
        <charset val="204"/>
      </rPr>
      <t xml:space="preserve"> </t>
    </r>
    <r>
      <rPr>
        <b/>
        <sz val="18"/>
        <color theme="6" tint="-0.249977111117893"/>
        <rFont val="Verdana"/>
        <family val="2"/>
        <charset val="204"/>
      </rPr>
      <t>ЗЕЛЕНОГО</t>
    </r>
    <r>
      <rPr>
        <b/>
        <sz val="18"/>
        <color rgb="FFFF0000"/>
        <rFont val="Verdana"/>
        <family val="2"/>
        <charset val="204"/>
      </rPr>
      <t xml:space="preserve"> </t>
    </r>
    <r>
      <rPr>
        <b/>
        <sz val="18"/>
        <color rgb="FF0000FF"/>
        <rFont val="Verdana"/>
        <family val="2"/>
        <charset val="204"/>
      </rPr>
      <t>цвета</t>
    </r>
  </si>
  <si>
    <t>Наличие Активности %</t>
  </si>
  <si>
    <t>Количество ставок, занятых основными ППС и внутренними совместителями + почасовка</t>
  </si>
  <si>
    <t>Деятельность, направленная на экономическую эффективность</t>
  </si>
  <si>
    <t>для факультета</t>
  </si>
  <si>
    <t>Факультет иностранных студентов</t>
  </si>
  <si>
    <r>
      <t>Продолжить вносить данные (КАФЕДРЫ)</t>
    </r>
    <r>
      <rPr>
        <b/>
        <sz val="14"/>
        <color theme="10"/>
        <rFont val="Calibri"/>
        <family val="2"/>
        <charset val="204"/>
        <scheme val="minor"/>
      </rPr>
      <t xml:space="preserve">     </t>
    </r>
    <r>
      <rPr>
        <b/>
        <sz val="14"/>
        <color theme="10"/>
        <rFont val="Calibri"/>
        <family val="2"/>
        <charset val="204"/>
      </rPr>
      <t>→</t>
    </r>
  </si>
  <si>
    <t>Продолжить вносить данные (ФАКУЛЬТЕТЫ)     →</t>
  </si>
  <si>
    <t>% задолженности</t>
  </si>
  <si>
    <t>Название факультетов</t>
  </si>
  <si>
    <t>Разделы деятельности</t>
  </si>
  <si>
    <t>фильтр</t>
  </si>
  <si>
    <t>Х</t>
  </si>
  <si>
    <t>макимальный уровень по разтелу в баллах</t>
  </si>
  <si>
    <t>макимальный уровень по разделу в баллах пересчитанный (-выездные циклы ДПО, -НИОКР</t>
  </si>
  <si>
    <t>'+Пересчет экономики, профработы (1)+кадры</t>
  </si>
  <si>
    <t>Название кафедр</t>
  </si>
  <si>
    <t>КАФЕДРЫ:</t>
  </si>
  <si>
    <t>итого</t>
  </si>
  <si>
    <t>ФАКУЛЬТЕТ (СУММА КАФЕДР)</t>
  </si>
  <si>
    <t>Деятельность, направленная на работу с кадровым составом кафедры</t>
  </si>
  <si>
    <t>сумма по кафедрам (проверочная)</t>
  </si>
  <si>
    <t>% выполнения =выполнение /Мах возможный вклад в итог</t>
  </si>
  <si>
    <t>факт %</t>
  </si>
  <si>
    <t>макс %</t>
  </si>
  <si>
    <t>Фактическое выполнение суммарно критериев 1-3, %</t>
  </si>
  <si>
    <t xml:space="preserve">% выполнения </t>
  </si>
  <si>
    <t>Итог:</t>
  </si>
  <si>
    <t>Фактическое количество условных баллов (суммарно)</t>
  </si>
  <si>
    <t>Фактическое выполнение критерия 1 (%)</t>
  </si>
  <si>
    <t>Фактическое выполнение критерия 2 (%)</t>
  </si>
  <si>
    <t>Фактическое выполнение критерия 3 (%)</t>
  </si>
  <si>
    <t>Критерий 1, фактическое количество условных баллов (суммарно)</t>
  </si>
  <si>
    <t>Критерий 2, фактическое количество условных баллов (суммарно)</t>
  </si>
  <si>
    <t>Критерий 3, фактическое количество условных баллов (суммарно)</t>
  </si>
  <si>
    <t>Или переходить по синим ссылкам :</t>
  </si>
  <si>
    <t>цена события (условных единиц участия):</t>
  </si>
  <si>
    <t>Фактическое количество условных единиц участия (суммарно) на 1 ППС</t>
  </si>
  <si>
    <t>Фактическое количество условных единиц участия (суммарно)</t>
  </si>
  <si>
    <t>Фактическое количество условных единиц участия (суммарно) на 1 ППС кафедры</t>
  </si>
  <si>
    <t>Отчетный период:</t>
  </si>
  <si>
    <t>квартал</t>
  </si>
  <si>
    <t>Посмотреть итоги   →</t>
  </si>
  <si>
    <t>БМН2</t>
  </si>
  <si>
    <t>БМН4</t>
  </si>
  <si>
    <t>ВАК2</t>
  </si>
  <si>
    <t>ВАК4</t>
  </si>
  <si>
    <t>ВЕБ2</t>
  </si>
  <si>
    <t>ВЕБ4</t>
  </si>
  <si>
    <t>СКОПУС2</t>
  </si>
  <si>
    <t>СКОПУС4</t>
  </si>
  <si>
    <r>
      <t xml:space="preserve">↑  </t>
    </r>
    <r>
      <rPr>
        <b/>
        <u/>
        <sz val="16"/>
        <color theme="10"/>
        <rFont val="Tahoma"/>
        <family val="2"/>
        <charset val="204"/>
      </rPr>
      <t>На титульный лист</t>
    </r>
  </si>
  <si>
    <t>Фактическое количество ставок ППС (внешних)</t>
  </si>
  <si>
    <t>Участие ППС в профориентационной работе ВУЗа по привлечению абитуриентов, в том числе из медицинских колледжей</t>
  </si>
  <si>
    <t>Критерий 1</t>
  </si>
  <si>
    <t>Критерий 3 (Клубы, научные школы)</t>
  </si>
  <si>
    <t>Критерий 2 (Кураторство)</t>
  </si>
  <si>
    <t>Общий итог, проверочный (в 100% шкале)</t>
  </si>
  <si>
    <r>
      <t xml:space="preserve">На этом листе учитывать Только </t>
    </r>
    <r>
      <rPr>
        <b/>
        <sz val="16"/>
        <color rgb="FFC00000"/>
        <rFont val="Tahoma"/>
        <family val="2"/>
        <charset val="204"/>
      </rPr>
      <t>организацию</t>
    </r>
    <r>
      <rPr>
        <b/>
        <sz val="16"/>
        <color theme="1"/>
        <rFont val="Tahoma"/>
        <family val="2"/>
        <charset val="204"/>
      </rPr>
      <t xml:space="preserve"> и проведение мероприятий</t>
    </r>
  </si>
  <si>
    <t>% премиальной выплаты</t>
  </si>
  <si>
    <t>Общее количество занятых ставок* с учетом "амнистии"</t>
  </si>
  <si>
    <t>Общее количество занятых ставок</t>
  </si>
  <si>
    <t>Наименование кафедры</t>
  </si>
  <si>
    <r>
      <t xml:space="preserve">Фактический </t>
    </r>
    <r>
      <rPr>
        <b/>
        <sz val="12"/>
        <color theme="1"/>
        <rFont val="Tahoma"/>
        <family val="2"/>
        <charset val="204"/>
      </rPr>
      <t>доход в пересчете на 1 ППС</t>
    </r>
    <r>
      <rPr>
        <sz val="12"/>
        <color theme="1"/>
        <rFont val="Tahoma"/>
        <family val="2"/>
        <charset val="204"/>
      </rPr>
      <t xml:space="preserve"> кафедры (не задействован, справочно)</t>
    </r>
  </si>
  <si>
    <r>
      <t xml:space="preserve">% </t>
    </r>
    <r>
      <rPr>
        <b/>
        <sz val="12"/>
        <color theme="1"/>
        <rFont val="Tahoma"/>
        <family val="2"/>
        <charset val="204"/>
      </rPr>
      <t>выполнения</t>
    </r>
    <r>
      <rPr>
        <sz val="12"/>
        <color theme="1"/>
        <rFont val="Tahoma"/>
        <family val="2"/>
        <charset val="204"/>
      </rPr>
      <t xml:space="preserve"> плана</t>
    </r>
  </si>
  <si>
    <t>наличие ИДО</t>
  </si>
  <si>
    <r>
      <t xml:space="preserve">Количество ставок </t>
    </r>
    <r>
      <rPr>
        <b/>
        <sz val="12"/>
        <color theme="1"/>
        <rFont val="Tahoma"/>
        <family val="2"/>
        <charset val="204"/>
      </rPr>
      <t>всего</t>
    </r>
  </si>
  <si>
    <r>
      <t xml:space="preserve">Количество ставок, занятых </t>
    </r>
    <r>
      <rPr>
        <b/>
        <sz val="12"/>
        <color theme="1"/>
        <rFont val="Tahoma"/>
        <family val="2"/>
        <charset val="204"/>
      </rPr>
      <t>основными</t>
    </r>
    <r>
      <rPr>
        <sz val="12"/>
        <color theme="1"/>
        <rFont val="Tahoma"/>
        <family val="2"/>
        <charset val="204"/>
      </rPr>
      <t xml:space="preserve"> </t>
    </r>
    <r>
      <rPr>
        <b/>
        <sz val="12"/>
        <color theme="1"/>
        <rFont val="Tahoma"/>
        <family val="2"/>
        <charset val="204"/>
      </rPr>
      <t>ППС</t>
    </r>
    <r>
      <rPr>
        <sz val="12"/>
        <color theme="1"/>
        <rFont val="Tahoma"/>
        <family val="2"/>
        <charset val="204"/>
      </rPr>
      <t xml:space="preserve"> и внутренними совместителями и + почасовка</t>
    </r>
  </si>
  <si>
    <r>
      <t xml:space="preserve">Количество занятых </t>
    </r>
    <r>
      <rPr>
        <b/>
        <sz val="12"/>
        <color theme="1"/>
        <rFont val="Tahoma"/>
        <family val="2"/>
        <charset val="204"/>
      </rPr>
      <t>остепененных</t>
    </r>
    <r>
      <rPr>
        <sz val="12"/>
        <color theme="1"/>
        <rFont val="Tahoma"/>
        <family val="2"/>
        <charset val="204"/>
      </rPr>
      <t xml:space="preserve"> ставок</t>
    </r>
  </si>
  <si>
    <t>для расчетов</t>
  </si>
  <si>
    <t>ФОРМА НЕ ДЛЯ ПЕЧАТИ!!!!</t>
  </si>
  <si>
    <t>Шкала</t>
  </si>
  <si>
    <r>
      <t xml:space="preserve">% </t>
    </r>
    <r>
      <rPr>
        <b/>
        <sz val="12"/>
        <color theme="1"/>
        <rFont val="Tahoma"/>
        <family val="2"/>
        <charset val="204"/>
      </rPr>
      <t>выполнения</t>
    </r>
    <r>
      <rPr>
        <sz val="12"/>
        <color theme="1"/>
        <rFont val="Tahoma"/>
        <family val="2"/>
        <charset val="204"/>
      </rPr>
      <t xml:space="preserve"> плана по ДПО, ИДО, ДО</t>
    </r>
  </si>
  <si>
    <r>
      <t xml:space="preserve">Выполнение плана доходов по внебюджетным средствам от образовательной деятельности по программам </t>
    </r>
    <r>
      <rPr>
        <b/>
        <sz val="11"/>
        <color rgb="FFFF0000"/>
        <rFont val="Tahoma"/>
        <family val="2"/>
        <charset val="204"/>
      </rPr>
      <t>ДПО и ИДО</t>
    </r>
    <r>
      <rPr>
        <sz val="11"/>
        <color theme="1"/>
        <rFont val="Tahoma"/>
        <family val="2"/>
        <charset val="204"/>
      </rPr>
      <t xml:space="preserve"> кафедры </t>
    </r>
    <r>
      <rPr>
        <sz val="11"/>
        <color rgb="FFFF0000"/>
        <rFont val="Tahoma"/>
        <family val="2"/>
        <charset val="204"/>
      </rPr>
      <t>(расчет показателя из 2-х компонентов)</t>
    </r>
  </si>
  <si>
    <r>
      <t xml:space="preserve">Выполнение плана доходов по внебюджетным средствам от образовательной деятельности по программам </t>
    </r>
    <r>
      <rPr>
        <b/>
        <sz val="11"/>
        <color rgb="FFFF0000"/>
        <rFont val="Tahoma"/>
        <family val="2"/>
        <charset val="204"/>
      </rPr>
      <t>ИДО</t>
    </r>
    <r>
      <rPr>
        <sz val="11"/>
        <color theme="1"/>
        <rFont val="Tahoma"/>
        <family val="2"/>
        <charset val="204"/>
      </rPr>
      <t xml:space="preserve"> кафедры  (оценивается в суммарном показателе)</t>
    </r>
  </si>
  <si>
    <t>Добровольческие, волонтерские мероприятия</t>
  </si>
  <si>
    <t xml:space="preserve">Организация культурно-развлекательных (воспитательных) мероприятий вуза, направленных на формирование здорового образа жизни у обучающихся </t>
  </si>
  <si>
    <t>Санитарно-просветительская, посещение музея истории АГМУ и медицины, беседы об ученых и кафедрах и др. соц.-воспит.</t>
  </si>
  <si>
    <t>уровень достаточности в квартал:</t>
  </si>
  <si>
    <t>Количество фактически трудоустроившихся</t>
  </si>
  <si>
    <t>% трудоустроившихся</t>
  </si>
  <si>
    <r>
      <t xml:space="preserve">Прирост дохода кафедры по внебюджетным средствам в сравнении с аналогичным периодом прошлого года </t>
    </r>
    <r>
      <rPr>
        <b/>
        <sz val="12"/>
        <color rgb="FFFF0000"/>
        <rFont val="Tahoma"/>
        <family val="2"/>
        <charset val="204"/>
      </rPr>
      <t>(НЕ ОЦЕНИВАЕТСЯ отдельно)</t>
    </r>
  </si>
  <si>
    <t>Формирование ЗОЖ</t>
  </si>
  <si>
    <t>Выполнение кафедрами целевых ориентиров по публикационной и активности, по достижению целевого уровня доходов от НИР и НИОКР (суммарно)</t>
  </si>
  <si>
    <t>Научная деятельность (Суммарная активность раздела НУ по не плановым показателям)</t>
  </si>
  <si>
    <t>года</t>
  </si>
  <si>
    <t>Доход кафедры от НИОКР</t>
  </si>
  <si>
    <t>НИОКР2</t>
  </si>
  <si>
    <t>НИОКР4</t>
  </si>
  <si>
    <t>НИОКР</t>
  </si>
  <si>
    <t>средняя!!!</t>
  </si>
  <si>
    <t>Финансы кафедр по разделу Наука</t>
  </si>
  <si>
    <t>Планирование</t>
  </si>
  <si>
    <t>При заполнении показателя можно вносить дробные значения (количество работ, событий)</t>
  </si>
  <si>
    <t>При заполнении показателя вносить суммы в рублях (можно с копейками)</t>
  </si>
  <si>
    <t>Финансы кафедр по разделу ДПО</t>
  </si>
  <si>
    <t>ИДО2019</t>
  </si>
  <si>
    <t>ДПО2019</t>
  </si>
  <si>
    <t>ДПО20191</t>
  </si>
  <si>
    <t>ДПО20192</t>
  </si>
  <si>
    <t>ДПО20193</t>
  </si>
  <si>
    <t>ДПО20194</t>
  </si>
  <si>
    <t>ДПО20181</t>
  </si>
  <si>
    <t>ДПО20182</t>
  </si>
  <si>
    <t>ДПО20183</t>
  </si>
  <si>
    <t>ДПО20184</t>
  </si>
  <si>
    <r>
      <t xml:space="preserve">Превышение плана  </t>
    </r>
    <r>
      <rPr>
        <b/>
        <sz val="12"/>
        <color rgb="FFFF0000"/>
        <rFont val="Tahoma"/>
        <family val="2"/>
        <charset val="204"/>
      </rPr>
      <t>(НЕ ОЦЕНИВАЕТСЯ)</t>
    </r>
  </si>
  <si>
    <t>Финансы кафедр по разделу ИДО</t>
  </si>
  <si>
    <t>Финансы кафедры</t>
  </si>
  <si>
    <t>по нарастающей</t>
  </si>
  <si>
    <r>
      <rPr>
        <b/>
        <sz val="12"/>
        <color theme="1"/>
        <rFont val="Tahoma"/>
        <family val="2"/>
        <charset val="204"/>
      </rPr>
      <t>Перевыполнение плана</t>
    </r>
    <r>
      <rPr>
        <sz val="12"/>
        <color theme="1"/>
        <rFont val="Tahoma"/>
        <family val="2"/>
        <charset val="204"/>
      </rPr>
      <t xml:space="preserve"> дохода кафедры по внебюджетным средствам за текущий период </t>
    </r>
    <r>
      <rPr>
        <sz val="12"/>
        <color rgb="FF0000FF"/>
        <rFont val="Tahoma"/>
        <family val="2"/>
        <charset val="204"/>
      </rPr>
      <t>(квартал)</t>
    </r>
  </si>
  <si>
    <r>
      <t xml:space="preserve">Фактический </t>
    </r>
    <r>
      <rPr>
        <b/>
        <sz val="12"/>
        <color theme="1"/>
        <rFont val="Tahoma"/>
        <family val="2"/>
        <charset val="204"/>
      </rPr>
      <t>доход в пересчете на 1 ППС</t>
    </r>
    <r>
      <rPr>
        <sz val="12"/>
        <color theme="1"/>
        <rFont val="Tahoma"/>
        <family val="2"/>
        <charset val="204"/>
      </rPr>
      <t xml:space="preserve"> кафедры </t>
    </r>
    <r>
      <rPr>
        <sz val="12"/>
        <color rgb="FFFF0000"/>
        <rFont val="Tahoma"/>
        <family val="2"/>
        <charset val="204"/>
      </rPr>
      <t>(не задействован отдельно)</t>
    </r>
    <r>
      <rPr>
        <sz val="12"/>
        <color theme="1"/>
        <rFont val="Tahoma"/>
        <family val="2"/>
        <charset val="204"/>
      </rPr>
      <t xml:space="preserve"> </t>
    </r>
    <r>
      <rPr>
        <sz val="12"/>
        <color rgb="FF0000FF"/>
        <rFont val="Tahoma"/>
        <family val="2"/>
        <charset val="204"/>
      </rPr>
      <t>суммарно с начала года</t>
    </r>
  </si>
  <si>
    <r>
      <rPr>
        <b/>
        <sz val="14"/>
        <color rgb="FF0000FF"/>
        <rFont val="Tahoma"/>
        <family val="2"/>
        <charset val="204"/>
      </rPr>
      <t>Доход</t>
    </r>
    <r>
      <rPr>
        <sz val="12"/>
        <color theme="1"/>
        <rFont val="Tahoma"/>
        <family val="2"/>
        <charset val="204"/>
      </rPr>
      <t xml:space="preserve"> кафедр от внебюджетных средств по программам </t>
    </r>
    <r>
      <rPr>
        <b/>
        <sz val="14"/>
        <color rgb="FF0000FF"/>
        <rFont val="Tahoma"/>
        <family val="2"/>
        <charset val="204"/>
      </rPr>
      <t xml:space="preserve">ДПО и </t>
    </r>
    <r>
      <rPr>
        <b/>
        <sz val="14"/>
        <color rgb="FF7030A0"/>
        <rFont val="Tahoma"/>
        <family val="2"/>
        <charset val="204"/>
      </rPr>
      <t>ИДО</t>
    </r>
    <r>
      <rPr>
        <sz val="12"/>
        <color rgb="FF7030A0"/>
        <rFont val="Tahoma"/>
        <family val="2"/>
        <charset val="204"/>
      </rPr>
      <t xml:space="preserve"> </t>
    </r>
    <r>
      <rPr>
        <sz val="12"/>
        <color theme="1"/>
        <rFont val="Tahoma"/>
        <family val="2"/>
        <charset val="204"/>
      </rPr>
      <t>(или прирост)</t>
    </r>
  </si>
  <si>
    <r>
      <t xml:space="preserve">Фактический </t>
    </r>
    <r>
      <rPr>
        <b/>
        <sz val="12"/>
        <color theme="1"/>
        <rFont val="Tahoma"/>
        <family val="2"/>
        <charset val="204"/>
      </rPr>
      <t>доход в пересчете на 1 ППС</t>
    </r>
    <r>
      <rPr>
        <sz val="12"/>
        <color theme="1"/>
        <rFont val="Tahoma"/>
        <family val="2"/>
        <charset val="204"/>
      </rPr>
      <t xml:space="preserve"> кафедры </t>
    </r>
    <r>
      <rPr>
        <sz val="12"/>
        <color rgb="FFFF0000"/>
        <rFont val="Tahoma"/>
        <family val="2"/>
        <charset val="204"/>
      </rPr>
      <t>(не задействован, справочно)</t>
    </r>
  </si>
  <si>
    <r>
      <t xml:space="preserve">Для расчета показателя </t>
    </r>
    <r>
      <rPr>
        <sz val="12"/>
        <color rgb="FFC00000"/>
        <rFont val="Tahoma"/>
        <family val="2"/>
        <charset val="204"/>
      </rPr>
      <t>2в1</t>
    </r>
    <r>
      <rPr>
        <sz val="12"/>
        <color rgb="FFFF0000"/>
        <rFont val="Tahoma"/>
        <family val="2"/>
        <charset val="204"/>
      </rPr>
      <t xml:space="preserve"> </t>
    </r>
    <r>
      <rPr>
        <sz val="12"/>
        <color rgb="FF0000FF"/>
        <rFont val="Tahoma"/>
        <family val="2"/>
        <charset val="204"/>
      </rPr>
      <t>(с 4 квартала 2018 г считается как бонус кафедры)</t>
    </r>
  </si>
  <si>
    <r>
      <t xml:space="preserve">Фактическая сумма дохода кафедр по </t>
    </r>
    <r>
      <rPr>
        <b/>
        <sz val="12"/>
        <color rgb="FFFF0000"/>
        <rFont val="Tahoma"/>
        <family val="2"/>
        <charset val="204"/>
      </rPr>
      <t>ДПО</t>
    </r>
    <r>
      <rPr>
        <b/>
        <sz val="12"/>
        <rFont val="Tahoma"/>
        <family val="2"/>
        <charset val="204"/>
      </rPr>
      <t xml:space="preserve"> и </t>
    </r>
    <r>
      <rPr>
        <b/>
        <sz val="12"/>
        <color rgb="FF7030A0"/>
        <rFont val="Tahoma"/>
        <family val="2"/>
        <charset val="204"/>
      </rPr>
      <t>ИДО</t>
    </r>
    <r>
      <rPr>
        <b/>
        <sz val="12"/>
        <color theme="1"/>
        <rFont val="Tahoma"/>
        <family val="2"/>
        <charset val="204"/>
      </rPr>
      <t xml:space="preserve"> </t>
    </r>
    <r>
      <rPr>
        <sz val="12"/>
        <color theme="1"/>
        <rFont val="Tahoma"/>
        <family val="2"/>
        <charset val="204"/>
      </rPr>
      <t>за отчетный период</t>
    </r>
    <r>
      <rPr>
        <sz val="12"/>
        <color rgb="FF0000FF"/>
        <rFont val="Tahoma"/>
        <family val="2"/>
        <charset val="204"/>
      </rPr>
      <t xml:space="preserve"> (суммарно с начала года по отчетную дату)</t>
    </r>
  </si>
  <si>
    <t>← на общую страницу кафедр</t>
  </si>
  <si>
    <t>← на общую страницу факультетов</t>
  </si>
  <si>
    <r>
      <t xml:space="preserve">↑  </t>
    </r>
    <r>
      <rPr>
        <b/>
        <u/>
        <sz val="14"/>
        <color theme="10"/>
        <rFont val="Verdana"/>
        <family val="2"/>
        <charset val="204"/>
      </rPr>
      <t>На титульный лист</t>
    </r>
  </si>
  <si>
    <t>ИТОГО:</t>
  </si>
  <si>
    <r>
      <t>ИТОГО:
(</t>
    </r>
    <r>
      <rPr>
        <b/>
        <sz val="11"/>
        <color theme="1"/>
        <rFont val="Verdana"/>
        <family val="2"/>
        <charset val="204"/>
      </rPr>
      <t>с учетом понижающих и повышающих бонусов кафедры, деканата</t>
    </r>
    <r>
      <rPr>
        <sz val="11"/>
        <color theme="1"/>
        <rFont val="Verdana"/>
        <family val="2"/>
        <charset val="204"/>
      </rPr>
      <t>)</t>
    </r>
  </si>
  <si>
    <t>Средний фактический балл ЕГЭ студентов, принятых на обучение</t>
  </si>
  <si>
    <t>% выполнения. Невыполнение хотя бы одного требования ведёт к 100% неисполнению показателя</t>
  </si>
  <si>
    <t xml:space="preserve">Фактическое количество не сдавших (не прошедших) первичную специализированную аккредитацию </t>
  </si>
  <si>
    <t>Наличие хотя бы одного ординатора, не прошедшего первичную специализированную аккредитацию – ведёт к 100% неисполнению показателя</t>
  </si>
  <si>
    <t>Учебно-производственный план, количество человек</t>
  </si>
  <si>
    <t>Выполнение учебно-производственного плана, количество человек</t>
  </si>
  <si>
    <r>
      <t xml:space="preserve">ВАЖНО: каждый квартал создается новая заготовка! </t>
    </r>
    <r>
      <rPr>
        <b/>
        <sz val="18"/>
        <color theme="6" tint="-0.249977111117893"/>
        <rFont val="Calibri"/>
        <family val="2"/>
        <charset val="204"/>
        <scheme val="minor"/>
      </rPr>
      <t>Вносите данные только в заготовку текущего отчетного периода!</t>
    </r>
  </si>
  <si>
    <t>Кадровый состав кафедр</t>
  </si>
  <si>
    <t>ППС</t>
  </si>
  <si>
    <t>ППСосн</t>
  </si>
  <si>
    <t>ППСвнСовм</t>
  </si>
  <si>
    <t>ППСвнешниеСовм</t>
  </si>
  <si>
    <t>НРвн</t>
  </si>
  <si>
    <t>НРвнешних</t>
  </si>
  <si>
    <t>СтавкиВсе</t>
  </si>
  <si>
    <t>Физические лица без д/о</t>
  </si>
  <si>
    <t>Ставки</t>
  </si>
  <si>
    <t>Научные работники</t>
  </si>
  <si>
    <t>всего</t>
  </si>
  <si>
    <t>занято</t>
  </si>
  <si>
    <t>ППС, имеющие ученую степень</t>
  </si>
  <si>
    <t>Ставки, занятые работниками имеющими ученую степень</t>
  </si>
  <si>
    <r>
      <t>Доход кафедры от НИОКР</t>
    </r>
    <r>
      <rPr>
        <b/>
        <sz val="11"/>
        <color rgb="FF0000FF"/>
        <rFont val="Tahoma"/>
        <family val="2"/>
        <charset val="204"/>
      </rPr>
      <t xml:space="preserve"> в год, в пересчете на количество ППС (основных)</t>
    </r>
  </si>
  <si>
    <t>Институт клинической психологии</t>
  </si>
  <si>
    <t xml:space="preserve">ВАЖНО: каждый квартал создается новая заготовка формы! </t>
  </si>
  <si>
    <t>Вносите данные только в заготовку формы текущего отчетного периода!</t>
  </si>
  <si>
    <r>
      <t xml:space="preserve">Важно: все данные вносить только в поля </t>
    </r>
    <r>
      <rPr>
        <b/>
        <sz val="22"/>
        <color theme="6" tint="-0.249977111117893"/>
        <rFont val="Calibri"/>
        <family val="2"/>
        <charset val="204"/>
        <scheme val="minor"/>
      </rPr>
      <t>ЗЕЛЕНОГО</t>
    </r>
    <r>
      <rPr>
        <b/>
        <sz val="22"/>
        <color rgb="FFFF0000"/>
        <rFont val="Calibri"/>
        <family val="2"/>
        <charset val="204"/>
        <scheme val="minor"/>
      </rPr>
      <t xml:space="preserve"> цвета на </t>
    </r>
    <r>
      <rPr>
        <b/>
        <sz val="22"/>
        <color theme="6" tint="-0.249977111117893"/>
        <rFont val="Calibri"/>
        <family val="2"/>
        <charset val="204"/>
        <scheme val="minor"/>
      </rPr>
      <t>"зеленых"</t>
    </r>
    <r>
      <rPr>
        <b/>
        <sz val="22"/>
        <color rgb="FFFF0000"/>
        <rFont val="Calibri"/>
        <family val="2"/>
        <charset val="204"/>
        <scheme val="minor"/>
      </rPr>
      <t xml:space="preserve"> листах </t>
    </r>
  </si>
  <si>
    <r>
      <t xml:space="preserve">Фактическое количество </t>
    </r>
    <r>
      <rPr>
        <b/>
        <sz val="11"/>
        <color rgb="FF0000FF"/>
        <rFont val="Tahoma"/>
        <family val="2"/>
        <charset val="204"/>
      </rPr>
      <t>ППС (основных)</t>
    </r>
    <r>
      <rPr>
        <strike/>
        <sz val="11"/>
        <color theme="1"/>
        <rFont val="Tahoma"/>
        <family val="2"/>
        <charset val="204"/>
      </rPr>
      <t/>
    </r>
  </si>
  <si>
    <t>Институт клинической медицины</t>
  </si>
  <si>
    <t>Институт педиатрии</t>
  </si>
  <si>
    <t>Институт стоматологии</t>
  </si>
  <si>
    <t>Институт общественного здоровья и профилактической медицины</t>
  </si>
  <si>
    <t>Институт фармации</t>
  </si>
  <si>
    <t>Наименование Института</t>
  </si>
  <si>
    <t>факультет/институт</t>
  </si>
  <si>
    <t>СУММАРНОЕ ЗНАЧЕНИЕ ПО КАФЕДРАМ ИНСТИТУТА/ФАКУЛЬТЕТА:</t>
  </si>
  <si>
    <t>Урологии и андрологии с курсом ДПО</t>
  </si>
  <si>
    <t>Неврологии и Нейрохирургии с курсом ДПО</t>
  </si>
  <si>
    <t>Травматологии и ортопедии</t>
  </si>
  <si>
    <t>ПЕДИАТРИИ</t>
  </si>
  <si>
    <t>ОЗДОРОВЬЯ</t>
  </si>
  <si>
    <t>КПСИХОЛОГИИ</t>
  </si>
  <si>
    <t>КМЕДИЦИНЫ</t>
  </si>
  <si>
    <t>Психиатрии, медицинской психологии и наркологии с курсом ДПО</t>
  </si>
  <si>
    <t>Факультетской терапии и профессиональных болезней</t>
  </si>
  <si>
    <t>Хирургической стоматологии, челюстно-лицевой хирургии</t>
  </si>
  <si>
    <t>ИНСТИТУТ/ФАКУЛЬТЕТ (ПОКАЗАТЕЛИ НЕ ВОШЕДШИЕ В ПОКАЗАТЕЛИ КАФЕДР):</t>
  </si>
  <si>
    <r>
      <t xml:space="preserve">Понижающий вычет </t>
    </r>
    <r>
      <rPr>
        <b/>
        <sz val="11"/>
        <color theme="1"/>
        <rFont val="Verdana"/>
        <family val="2"/>
        <charset val="204"/>
      </rPr>
      <t>кафедры/ института</t>
    </r>
    <r>
      <rPr>
        <sz val="11"/>
        <color theme="1"/>
        <rFont val="Verdana"/>
        <family val="2"/>
        <charset val="204"/>
      </rPr>
      <t xml:space="preserve"> за показатели не входящие в основной блок</t>
    </r>
  </si>
  <si>
    <r>
      <t xml:space="preserve">Повышающий бонус </t>
    </r>
    <r>
      <rPr>
        <b/>
        <sz val="11"/>
        <color theme="1"/>
        <rFont val="Verdana"/>
        <family val="2"/>
        <charset val="204"/>
      </rPr>
      <t>кафедры/института</t>
    </r>
    <r>
      <rPr>
        <sz val="11"/>
        <color theme="1"/>
        <rFont val="Verdana"/>
        <family val="2"/>
        <charset val="204"/>
      </rPr>
      <t xml:space="preserve"> за отдельные редко выполняемые, значимые мероприятия </t>
    </r>
  </si>
  <si>
    <t>Доход кафедры от ДПО текущий год</t>
  </si>
  <si>
    <t>Доход кафедры от ДПО текущий  год</t>
  </si>
  <si>
    <t>Доход кафедры от ДПО прошлый год</t>
  </si>
  <si>
    <r>
      <t xml:space="preserve">Фактическое количество подготовленных </t>
    </r>
    <r>
      <rPr>
        <b/>
        <sz val="12"/>
        <color rgb="FF0000FF"/>
        <rFont val="Verdana"/>
        <family val="2"/>
        <charset val="204"/>
      </rPr>
      <t>учебных изданий</t>
    </r>
    <r>
      <rPr>
        <sz val="12"/>
        <color theme="1"/>
        <rFont val="Verdana"/>
        <family val="2"/>
        <charset val="204"/>
      </rPr>
      <t xml:space="preserve"> по ординатуре</t>
    </r>
  </si>
  <si>
    <r>
      <t xml:space="preserve">Плановое количество </t>
    </r>
    <r>
      <rPr>
        <b/>
        <sz val="12"/>
        <color rgb="FF0000FF"/>
        <rFont val="Verdana"/>
        <family val="2"/>
        <charset val="204"/>
      </rPr>
      <t>учебных изданий</t>
    </r>
    <r>
      <rPr>
        <sz val="12"/>
        <color theme="1"/>
        <rFont val="Verdana"/>
        <family val="2"/>
        <charset val="204"/>
      </rPr>
      <t xml:space="preserve"> по ординатуре</t>
    </r>
  </si>
  <si>
    <r>
      <t xml:space="preserve">Фактическое количество подготовленных </t>
    </r>
    <r>
      <rPr>
        <b/>
        <sz val="12"/>
        <color rgb="FF0000FF"/>
        <rFont val="Verdana"/>
        <family val="2"/>
        <charset val="204"/>
      </rPr>
      <t xml:space="preserve">видеолекций, вебинаров и пр. </t>
    </r>
    <r>
      <rPr>
        <sz val="12"/>
        <color theme="1"/>
        <rFont val="Verdana"/>
        <family val="2"/>
        <charset val="204"/>
      </rPr>
      <t xml:space="preserve"> по дисциплинам специалитета</t>
    </r>
  </si>
  <si>
    <r>
      <t xml:space="preserve">Фактический </t>
    </r>
    <r>
      <rPr>
        <b/>
        <sz val="12"/>
        <color theme="1"/>
        <rFont val="Verdana"/>
        <family val="2"/>
        <charset val="204"/>
      </rPr>
      <t>доход в пересчете на 1 ППС</t>
    </r>
    <r>
      <rPr>
        <sz val="12"/>
        <color theme="1"/>
        <rFont val="Verdana"/>
        <family val="2"/>
        <charset val="204"/>
      </rPr>
      <t xml:space="preserve"> кафедры </t>
    </r>
    <r>
      <rPr>
        <sz val="12"/>
        <color rgb="FFFF0000"/>
        <rFont val="Verdana"/>
        <family val="2"/>
        <charset val="204"/>
      </rPr>
      <t>(не задействован, справочно)</t>
    </r>
  </si>
  <si>
    <r>
      <t xml:space="preserve">% </t>
    </r>
    <r>
      <rPr>
        <b/>
        <sz val="12"/>
        <color theme="1"/>
        <rFont val="Verdana"/>
        <family val="2"/>
        <charset val="204"/>
      </rPr>
      <t>выполнения</t>
    </r>
    <r>
      <rPr>
        <sz val="12"/>
        <color theme="1"/>
        <rFont val="Verdana"/>
        <family val="2"/>
        <charset val="204"/>
      </rPr>
      <t xml:space="preserve"> плана</t>
    </r>
  </si>
  <si>
    <r>
      <t xml:space="preserve">Фактический </t>
    </r>
    <r>
      <rPr>
        <b/>
        <sz val="12"/>
        <color theme="1"/>
        <rFont val="Verdana"/>
        <family val="2"/>
        <charset val="204"/>
      </rPr>
      <t>доход в пересчете на 1 ППС</t>
    </r>
    <r>
      <rPr>
        <sz val="12"/>
        <color theme="1"/>
        <rFont val="Verdana"/>
        <family val="2"/>
        <charset val="204"/>
      </rPr>
      <t xml:space="preserve"> кафедры </t>
    </r>
    <r>
      <rPr>
        <sz val="12"/>
        <color rgb="FFFF0000"/>
        <rFont val="Verdana"/>
        <family val="2"/>
        <charset val="204"/>
      </rPr>
      <t>(не задействован отдельно)</t>
    </r>
    <r>
      <rPr>
        <sz val="12"/>
        <color theme="1"/>
        <rFont val="Verdana"/>
        <family val="2"/>
        <charset val="204"/>
      </rPr>
      <t xml:space="preserve"> </t>
    </r>
    <r>
      <rPr>
        <sz val="12"/>
        <color rgb="FF0000FF"/>
        <rFont val="Verdana"/>
        <family val="2"/>
        <charset val="204"/>
      </rPr>
      <t>суммарно с начала года</t>
    </r>
  </si>
  <si>
    <r>
      <t xml:space="preserve">Фактический </t>
    </r>
    <r>
      <rPr>
        <b/>
        <sz val="12"/>
        <color theme="1"/>
        <rFont val="Verdana"/>
        <family val="2"/>
        <charset val="204"/>
      </rPr>
      <t>доход в пересчете на 1 ППС</t>
    </r>
    <r>
      <rPr>
        <sz val="12"/>
        <color theme="1"/>
        <rFont val="Verdana"/>
        <family val="2"/>
        <charset val="204"/>
      </rPr>
      <t xml:space="preserve"> кафедры (не задействован, справочно)</t>
    </r>
  </si>
  <si>
    <r>
      <t xml:space="preserve">Количество ставок </t>
    </r>
    <r>
      <rPr>
        <b/>
        <sz val="12"/>
        <color theme="1"/>
        <rFont val="Verdana"/>
        <family val="2"/>
        <charset val="204"/>
      </rPr>
      <t>всего</t>
    </r>
  </si>
  <si>
    <r>
      <t xml:space="preserve">Количество занятых </t>
    </r>
    <r>
      <rPr>
        <b/>
        <sz val="12"/>
        <color theme="1"/>
        <rFont val="Verdana"/>
        <family val="2"/>
        <charset val="204"/>
      </rPr>
      <t>остепененных</t>
    </r>
    <r>
      <rPr>
        <sz val="12"/>
        <color theme="1"/>
        <rFont val="Verdana"/>
        <family val="2"/>
        <charset val="204"/>
      </rPr>
      <t xml:space="preserve"> ставок</t>
    </r>
  </si>
  <si>
    <r>
      <t xml:space="preserve">Количество ставок, занятых </t>
    </r>
    <r>
      <rPr>
        <b/>
        <sz val="12"/>
        <color theme="1"/>
        <rFont val="Verdana"/>
        <family val="2"/>
        <charset val="204"/>
      </rPr>
      <t>основными</t>
    </r>
    <r>
      <rPr>
        <sz val="12"/>
        <color theme="1"/>
        <rFont val="Verdana"/>
        <family val="2"/>
        <charset val="204"/>
      </rPr>
      <t xml:space="preserve"> </t>
    </r>
    <r>
      <rPr>
        <b/>
        <sz val="12"/>
        <color theme="1"/>
        <rFont val="Verdana"/>
        <family val="2"/>
        <charset val="204"/>
      </rPr>
      <t>ППС</t>
    </r>
    <r>
      <rPr>
        <sz val="12"/>
        <color theme="1"/>
        <rFont val="Verdana"/>
        <family val="2"/>
        <charset val="204"/>
      </rPr>
      <t xml:space="preserve"> и внутренними совместителями и + почасовка</t>
    </r>
  </si>
  <si>
    <r>
      <t xml:space="preserve">Количество ставок, занятых </t>
    </r>
    <r>
      <rPr>
        <b/>
        <sz val="12"/>
        <color theme="1"/>
        <rFont val="Verdana"/>
        <family val="2"/>
        <charset val="204"/>
      </rPr>
      <t>основными ППС и внутренними совместителями + почасовка</t>
    </r>
  </si>
  <si>
    <r>
      <t xml:space="preserve">Фактическое количество ставок ППС занятых </t>
    </r>
    <r>
      <rPr>
        <b/>
        <sz val="12"/>
        <color theme="1"/>
        <rFont val="Verdana"/>
        <family val="2"/>
        <charset val="204"/>
      </rPr>
      <t>внешними</t>
    </r>
    <r>
      <rPr>
        <sz val="12"/>
        <color theme="1"/>
        <rFont val="Verdana"/>
        <family val="2"/>
        <charset val="204"/>
      </rPr>
      <t xml:space="preserve"> совместителями</t>
    </r>
  </si>
  <si>
    <r>
      <t xml:space="preserve">Выполнение плана ДПО по </t>
    </r>
    <r>
      <rPr>
        <b/>
        <sz val="12"/>
        <color rgb="FF0000FF"/>
        <rFont val="Verdana"/>
        <family val="2"/>
        <charset val="204"/>
      </rPr>
      <t>Государственному Заданию</t>
    </r>
  </si>
  <si>
    <r>
      <t xml:space="preserve">Выполнение плана ДПО по </t>
    </r>
    <r>
      <rPr>
        <b/>
        <sz val="12"/>
        <color rgb="FF0000FF"/>
        <rFont val="Verdana"/>
        <family val="2"/>
        <charset val="204"/>
      </rPr>
      <t>Национальному проекту</t>
    </r>
  </si>
  <si>
    <r>
      <t xml:space="preserve">Для расчета показателя </t>
    </r>
    <r>
      <rPr>
        <sz val="12"/>
        <color rgb="FFC00000"/>
        <rFont val="Verdana"/>
        <family val="2"/>
        <charset val="204"/>
      </rPr>
      <t>2в1</t>
    </r>
    <r>
      <rPr>
        <sz val="12"/>
        <color rgb="FFFF0000"/>
        <rFont val="Verdana"/>
        <family val="2"/>
        <charset val="204"/>
      </rPr>
      <t xml:space="preserve"> </t>
    </r>
    <r>
      <rPr>
        <sz val="12"/>
        <color rgb="FF0000FF"/>
        <rFont val="Verdana"/>
        <family val="2"/>
        <charset val="204"/>
      </rPr>
      <t>(считается как бонус кафедры)</t>
    </r>
  </si>
  <si>
    <t>Издано монографий</t>
  </si>
  <si>
    <t>МН2</t>
  </si>
  <si>
    <t>МН4</t>
  </si>
  <si>
    <t>МН</t>
  </si>
  <si>
    <r>
      <t xml:space="preserve">Издано </t>
    </r>
    <r>
      <rPr>
        <b/>
        <sz val="11"/>
        <color rgb="FF0000FF"/>
        <rFont val="Verdana"/>
        <family val="2"/>
        <charset val="204"/>
      </rPr>
      <t>монографий</t>
    </r>
  </si>
  <si>
    <r>
      <t xml:space="preserve">Количество опубликованных </t>
    </r>
    <r>
      <rPr>
        <sz val="11"/>
        <color rgb="FF0000FF"/>
        <rFont val="Verdana"/>
        <family val="2"/>
        <charset val="204"/>
      </rPr>
      <t>статей</t>
    </r>
    <r>
      <rPr>
        <sz val="11"/>
        <color theme="1"/>
        <rFont val="Verdana"/>
        <family val="2"/>
        <charset val="204"/>
      </rPr>
      <t xml:space="preserve"> в журналах, рецензируемых </t>
    </r>
    <r>
      <rPr>
        <b/>
        <sz val="11"/>
        <color rgb="FF0000FF"/>
        <rFont val="Verdana"/>
        <family val="2"/>
        <charset val="204"/>
      </rPr>
      <t>ВАК</t>
    </r>
  </si>
  <si>
    <r>
      <t xml:space="preserve">Количество опубликованных </t>
    </r>
    <r>
      <rPr>
        <sz val="11"/>
        <color rgb="FF0000FF"/>
        <rFont val="Verdana"/>
        <family val="2"/>
        <charset val="204"/>
      </rPr>
      <t>статей</t>
    </r>
    <r>
      <rPr>
        <sz val="11"/>
        <color theme="1"/>
        <rFont val="Verdana"/>
        <family val="2"/>
        <charset val="204"/>
      </rPr>
      <t xml:space="preserve"> в журналах, индексируемых в базах данных</t>
    </r>
    <r>
      <rPr>
        <sz val="11"/>
        <color rgb="FF0000FF"/>
        <rFont val="Verdana"/>
        <family val="2"/>
        <charset val="204"/>
      </rPr>
      <t xml:space="preserve"> </t>
    </r>
    <r>
      <rPr>
        <b/>
        <sz val="11"/>
        <color rgb="FF0000FF"/>
        <rFont val="Verdana"/>
        <family val="2"/>
        <charset val="204"/>
      </rPr>
      <t>Web of Science</t>
    </r>
  </si>
  <si>
    <r>
      <t xml:space="preserve">Количество опубликованных </t>
    </r>
    <r>
      <rPr>
        <sz val="11"/>
        <color rgb="FF0000FF"/>
        <rFont val="Verdana"/>
        <family val="2"/>
        <charset val="204"/>
      </rPr>
      <t>статей</t>
    </r>
    <r>
      <rPr>
        <sz val="11"/>
        <color theme="1"/>
        <rFont val="Verdana"/>
        <family val="2"/>
        <charset val="204"/>
      </rPr>
      <t xml:space="preserve"> в журналах, индексируемых в базах данных </t>
    </r>
    <r>
      <rPr>
        <b/>
        <sz val="11"/>
        <color rgb="FF0000FF"/>
        <rFont val="Verdana"/>
        <family val="2"/>
        <charset val="204"/>
      </rPr>
      <t>Scopus</t>
    </r>
    <r>
      <rPr>
        <sz val="11"/>
        <color theme="1"/>
        <rFont val="Verdana"/>
        <family val="2"/>
        <charset val="204"/>
      </rPr>
      <t xml:space="preserve"> </t>
    </r>
  </si>
  <si>
    <t>Фактическое участие</t>
  </si>
  <si>
    <t>Планируемое участие</t>
  </si>
  <si>
    <t>Общая сумма к оплате (рублей)</t>
  </si>
  <si>
    <t>Финансовая задолженность студентов института/факультета за обучение (рублей)</t>
  </si>
  <si>
    <t>Факультетской хирургии имени профессора И.И. Неймарка с курсом ДПО</t>
  </si>
  <si>
    <t>Госпитальной хирургии</t>
  </si>
  <si>
    <t>Клинической психологии</t>
  </si>
  <si>
    <t>Поликлинической терапии</t>
  </si>
  <si>
    <t>Медицинской реабилитологии с курсом ДПО</t>
  </si>
  <si>
    <t>Медицины катастроф и безопасности жизнедеятельности</t>
  </si>
  <si>
    <t>Пульмонологии и фтизиатрии с курсом ДПО</t>
  </si>
  <si>
    <t>Биологической химии, клинической лабораторной диагностики</t>
  </si>
  <si>
    <t>Химии</t>
  </si>
  <si>
    <t>Инфекционных болезней с курсом ДПО</t>
  </si>
  <si>
    <t>Гигиены и основ экологии</t>
  </si>
  <si>
    <t xml:space="preserve">Фактическое количество не сдавших (не прошедших) аккредитацию </t>
  </si>
  <si>
    <t>Наличие хотя бы одного обучающегося, не прошедшего  аккредитацию – ведёт к 100% неисполнению показателя</t>
  </si>
  <si>
    <t xml:space="preserve">Фактическое количество не прошедших аккредитацию </t>
  </si>
  <si>
    <t xml:space="preserve">в журналах, входящих в РИНЦ </t>
  </si>
  <si>
    <t>из них, в журналах, рецензируемых ВАК</t>
  </si>
  <si>
    <r>
      <t xml:space="preserve">Количество опубликованных статей в журналах, входящих в </t>
    </r>
    <r>
      <rPr>
        <b/>
        <sz val="11"/>
        <color rgb="FF0000FF"/>
        <rFont val="Verdana"/>
        <family val="2"/>
        <charset val="204"/>
      </rPr>
      <t>РИНЦ</t>
    </r>
  </si>
  <si>
    <t>Фактическая сумма  дохода за отчетный период  (в рублях)</t>
  </si>
  <si>
    <t>Плановая сумма дохода в отчетный (в рублях)</t>
  </si>
  <si>
    <t>Фармакологии имени профессора В.М. Брюханова</t>
  </si>
  <si>
    <t>Выполнение плана публикационной активности</t>
  </si>
  <si>
    <t>Фактическая сумма  дохода за отчетный период (в рублях)</t>
  </si>
  <si>
    <t>Плановая сумма дохода в отчетный период (в рублях)</t>
  </si>
  <si>
    <r>
      <t xml:space="preserve">ВАЖНО: каждый квартал создается новая заготовка! </t>
    </r>
    <r>
      <rPr>
        <b/>
        <sz val="16"/>
        <color rgb="FFFF0000"/>
        <rFont val="Calibri"/>
        <family val="2"/>
        <charset val="204"/>
        <scheme val="minor"/>
      </rPr>
      <t>Вносите данные только в заготовку текущего отчетного периода!</t>
    </r>
  </si>
  <si>
    <t>Количество обучающихся</t>
  </si>
  <si>
    <t>Плановое количество обучающихся</t>
  </si>
  <si>
    <t>% сохранности контингента</t>
  </si>
  <si>
    <t>Численность обучающихся по программам специалитета по данным года, предшествующего отчетному</t>
  </si>
  <si>
    <t>% успешно сдавших</t>
  </si>
  <si>
    <t>Количество выпускников, успешно прошедших первичную аккредитацию</t>
  </si>
  <si>
    <t>Количество выпускников, заявленных на первичную аккредитацию</t>
  </si>
  <si>
    <t>Институт среднего профессионального образования</t>
  </si>
  <si>
    <t>СПО</t>
  </si>
  <si>
    <t>Хирургических болезней детского возраста</t>
  </si>
  <si>
    <t>Факультетской педиатрии</t>
  </si>
  <si>
    <t>Госпитальной педиатрии с курсом ДПО</t>
  </si>
  <si>
    <t>Неонатологии и детской анестезиологии с курсом ДПО</t>
  </si>
  <si>
    <t>Онкологии, лучевой терапии с курсом ДПО</t>
  </si>
  <si>
    <t>Лучевой диагностики и эндоскопии с курсом ДПО</t>
  </si>
  <si>
    <t>Ультразвуковой и функциональной диагностики с курсом ДПО</t>
  </si>
  <si>
    <t>Медицинского права</t>
  </si>
  <si>
    <t>Оториноларингологии с курсом ДПО</t>
  </si>
  <si>
    <t>Офтальмологии с курсом ДПО</t>
  </si>
  <si>
    <t>Социально-гуманитарных наук</t>
  </si>
  <si>
    <t>Философии</t>
  </si>
  <si>
    <t>Фактическая численность иностранных студентов, обучающихся по программам специалитета</t>
  </si>
  <si>
    <t>Плановая численность иностранных студентов, обучающихся по программам специалитета</t>
  </si>
  <si>
    <t>Фактическое выполнение</t>
  </si>
  <si>
    <t>Плановый показатель</t>
  </si>
  <si>
    <t>Фактическое число статей, подготовленных совместно с зарубежными организациями</t>
  </si>
  <si>
    <t>Плановое число статей, подготовленных совместно с зарубежными организациями</t>
  </si>
  <si>
    <t>Фактическая численность иностранных граждан из числа НПР в общей численности НПР</t>
  </si>
  <si>
    <t>Плановая численность иностранных граждан из числа НПР в общей численности НПР</t>
  </si>
  <si>
    <t>Фактический показатель численности НПР, имеющих достаточные языковые компетенции, позволяющие вести учебный процесс на английском языке</t>
  </si>
  <si>
    <t>Плановый показатель численности НПР, имеющих достаточные языковые компетенции, позволяющие вести учебный процесс на английском языке</t>
  </si>
  <si>
    <r>
      <t xml:space="preserve">Фактическое количество подготовленных </t>
    </r>
    <r>
      <rPr>
        <b/>
        <sz val="12"/>
        <color rgb="FF0000FF"/>
        <rFont val="Verdana"/>
        <family val="2"/>
        <charset val="204"/>
      </rPr>
      <t>учебных, учебно-методических изданий</t>
    </r>
    <r>
      <rPr>
        <sz val="12"/>
        <color theme="1"/>
        <rFont val="Verdana"/>
        <family val="2"/>
        <charset val="204"/>
      </rPr>
      <t xml:space="preserve"> по программам специалитета</t>
    </r>
  </si>
  <si>
    <r>
      <t xml:space="preserve">Плановое количество </t>
    </r>
    <r>
      <rPr>
        <b/>
        <sz val="12"/>
        <color rgb="FF0000FF"/>
        <rFont val="Verdana"/>
        <family val="2"/>
        <charset val="204"/>
      </rPr>
      <t>учебных, учебно-методических  изданий</t>
    </r>
    <r>
      <rPr>
        <sz val="12"/>
        <color theme="1"/>
        <rFont val="Verdana"/>
        <family val="2"/>
        <charset val="204"/>
      </rPr>
      <t xml:space="preserve"> по программам специалитета</t>
    </r>
  </si>
  <si>
    <t>% выполнения плана приема по программе ординатуры по целевому обучению (макс. 100%)</t>
  </si>
  <si>
    <t>Клубы, научные школы</t>
  </si>
  <si>
    <t>% успешно завершивших обучение</t>
  </si>
  <si>
    <t xml:space="preserve">Численность обучающихся по программам специалитета по данным отчетного года </t>
  </si>
  <si>
    <t>Численность выпуска по программам специалитета по данным отчетного года</t>
  </si>
  <si>
    <t>Численность обучающихся принятых на обучение по программам специалитета по данным отчетного года</t>
  </si>
  <si>
    <t>Численность обучающихся по договорам о целевом обучении по данным отчетного года</t>
  </si>
  <si>
    <t>Численность выпуска по договорам о целевом обучении по данным отчетного года</t>
  </si>
  <si>
    <t>Численность обучающихся принятых на обучение по договорам о целевом обучении по данным отчетного года</t>
  </si>
  <si>
    <t>Численность обучающихся по договорам о целевом обучении по данным года, предшествующего отчетному</t>
  </si>
  <si>
    <t xml:space="preserve">Количество выпускников </t>
  </si>
  <si>
    <t>% выполнения плана приема по программе ординатуры по целевому обучению</t>
  </si>
  <si>
    <t>% вовремя внесенной оплаты</t>
  </si>
  <si>
    <t>Финансовая задолженность студентов института/факультета за проживание в общежитии (рублей)</t>
  </si>
  <si>
    <t>% выполнения плана (1 полугодие - 50%, год - 100%)</t>
  </si>
  <si>
    <t>Количество занятыз остепенённых ставок</t>
  </si>
  <si>
    <t>Количество ставок, занятых основными ППС и внутренними совместителями</t>
  </si>
  <si>
    <t>% остепенённости</t>
  </si>
  <si>
    <t>Доля ППС в возрасте до 39 лет в общей численности ППС:</t>
  </si>
  <si>
    <t>Фактическое количество ППС</t>
  </si>
  <si>
    <t>Количество ППС в возрасте до 39 лет</t>
  </si>
  <si>
    <t>% ППС в возрасте до 39 лет</t>
  </si>
  <si>
    <r>
      <t xml:space="preserve">Выполнение плана по участию НПР кафедр факультета/института в программах исходящей/входящей академической мобильности
</t>
    </r>
    <r>
      <rPr>
        <b/>
        <sz val="13"/>
        <color rgb="FFFF0000"/>
        <rFont val="Verdana"/>
        <family val="2"/>
        <charset val="204"/>
      </rPr>
      <t>(4 квартал)</t>
    </r>
  </si>
  <si>
    <r>
      <t xml:space="preserve">Выполнение плана по численности иностранных граждан, принятых на обучение
</t>
    </r>
    <r>
      <rPr>
        <b/>
        <sz val="13"/>
        <color rgb="FFFF0000"/>
        <rFont val="Verdana"/>
        <family val="2"/>
        <charset val="204"/>
      </rPr>
      <t>(4 квартал)</t>
    </r>
  </si>
  <si>
    <r>
      <t xml:space="preserve">Выполнение плана по общей численности иностранных студентов, обучающихся по программам специалитета (годовой)
</t>
    </r>
    <r>
      <rPr>
        <b/>
        <sz val="13"/>
        <color rgb="FFFF0000"/>
        <rFont val="Verdana"/>
        <family val="2"/>
        <charset val="204"/>
      </rPr>
      <t>(4 квартал)</t>
    </r>
  </si>
  <si>
    <t>Фактическая численность иностранных граждан, принятых на обучение</t>
  </si>
  <si>
    <t>Плановая численность иностранных граждан, принятых на обучение</t>
  </si>
  <si>
    <r>
      <t xml:space="preserve">Выполнение плана по численности иностранных граждан из числа НПР в общей численности НПР (годовой)
</t>
    </r>
    <r>
      <rPr>
        <b/>
        <sz val="13"/>
        <color rgb="FFFF0000"/>
        <rFont val="Verdana"/>
        <family val="2"/>
        <charset val="204"/>
      </rPr>
      <t>(4 квартал)</t>
    </r>
  </si>
  <si>
    <r>
      <t xml:space="preserve">Выполнение плана по количеству заключенных соглашений, меморандумов, договоров о научно-образовательном сотрудничестве (в том числе на межфакультетском уровне) с зарубежными организациями 
</t>
    </r>
    <r>
      <rPr>
        <b/>
        <sz val="13"/>
        <color rgb="FFFF0000"/>
        <rFont val="Verdana"/>
        <family val="2"/>
        <charset val="204"/>
      </rPr>
      <t>(4 квартал)</t>
    </r>
  </si>
  <si>
    <r>
      <t xml:space="preserve">Выполнение плана по числу статей, подготовленных совместно с зарубежными организациями 
</t>
    </r>
    <r>
      <rPr>
        <b/>
        <sz val="13"/>
        <color rgb="FFFF0000"/>
        <rFont val="Verdana"/>
        <family val="2"/>
        <charset val="204"/>
      </rPr>
      <t>(4 квартал)</t>
    </r>
  </si>
  <si>
    <r>
      <t xml:space="preserve">Выполнение плана по численности НПР, имеющих достаточные языковые компетенции, позволяющие вести учебный процесс на английском языке
</t>
    </r>
    <r>
      <rPr>
        <b/>
        <sz val="13"/>
        <color rgb="FFFF0000"/>
        <rFont val="Verdana"/>
        <family val="2"/>
        <charset val="204"/>
      </rPr>
      <t>(4 квартал)</t>
    </r>
  </si>
  <si>
    <t>Процент остепененности внешних совместителей ППС кафедры (в среднем по ставкам)</t>
  </si>
  <si>
    <t>Доля основных (штатных) ППС (включая внутренних совместителей) по кафедре (по ставкам)</t>
  </si>
  <si>
    <t>Доля ППС в возрасте до 39 лет в общей численности ППС</t>
  </si>
  <si>
    <r>
      <t xml:space="preserve">Выполнение плана доходов по приносящей доход деятельности от образовательной деятельности по программам </t>
    </r>
    <r>
      <rPr>
        <b/>
        <sz val="12"/>
        <color rgb="FFFF0000"/>
        <rFont val="Verdana"/>
        <family val="2"/>
        <charset val="204"/>
      </rPr>
      <t>ДПО и ИДО</t>
    </r>
    <r>
      <rPr>
        <sz val="12"/>
        <color theme="1"/>
        <rFont val="Verdana"/>
        <family val="2"/>
        <charset val="204"/>
      </rPr>
      <t xml:space="preserve"> кафедры</t>
    </r>
    <r>
      <rPr>
        <sz val="12"/>
        <color rgb="FF0000FF"/>
        <rFont val="Verdana"/>
        <family val="2"/>
        <charset val="204"/>
      </rPr>
      <t xml:space="preserve"> (расчет показателя из 2х компонентов)</t>
    </r>
  </si>
  <si>
    <r>
      <rPr>
        <b/>
        <sz val="12"/>
        <color theme="1"/>
        <rFont val="Verdana"/>
        <family val="2"/>
        <charset val="204"/>
      </rPr>
      <t>Перевыполнение плана</t>
    </r>
    <r>
      <rPr>
        <sz val="12"/>
        <color theme="1"/>
        <rFont val="Verdana"/>
        <family val="2"/>
        <charset val="204"/>
      </rPr>
      <t xml:space="preserve"> дохода кафедры по приносящей доход деятельности за текущий период </t>
    </r>
    <r>
      <rPr>
        <sz val="12"/>
        <color rgb="FF0000FF"/>
        <rFont val="Verdana"/>
        <family val="2"/>
        <charset val="204"/>
      </rPr>
      <t>(квартал)</t>
    </r>
  </si>
  <si>
    <t>↓↓ Выполнение плана доходов по приносящей доход деятельности от образовательной деятельности по программам ИДО кафедры  (оценивается в суммарном показателе)</t>
  </si>
  <si>
    <r>
      <t xml:space="preserve">% </t>
    </r>
    <r>
      <rPr>
        <b/>
        <sz val="12"/>
        <color theme="1"/>
        <rFont val="Verdana"/>
        <family val="2"/>
        <charset val="204"/>
      </rPr>
      <t>выполнения</t>
    </r>
    <r>
      <rPr>
        <sz val="12"/>
        <color theme="1"/>
        <rFont val="Verdana"/>
        <family val="2"/>
        <charset val="204"/>
      </rPr>
      <t xml:space="preserve"> плана по </t>
    </r>
    <r>
      <rPr>
        <b/>
        <sz val="12"/>
        <color rgb="FFFF0000"/>
        <rFont val="Verdana"/>
        <family val="2"/>
        <charset val="204"/>
      </rPr>
      <t>ДПО,</t>
    </r>
    <r>
      <rPr>
        <b/>
        <sz val="12"/>
        <color rgb="FF0000FF"/>
        <rFont val="Verdana"/>
        <family val="2"/>
        <charset val="204"/>
      </rPr>
      <t xml:space="preserve"> ИДО</t>
    </r>
  </si>
  <si>
    <t>Плановое количество для поступления в целевую ординатуру</t>
  </si>
  <si>
    <t>Фактическое количество поступивших в целевую ординатуру</t>
  </si>
  <si>
    <t>Кураторство, Подготовительные курсы со школьниками</t>
  </si>
  <si>
    <t>1 полугодие</t>
  </si>
  <si>
    <t>2 полугодие</t>
  </si>
  <si>
    <t xml:space="preserve">В журналах, входящих в РИНЦ </t>
  </si>
  <si>
    <t xml:space="preserve"> В журналах, индексируемых в базах данных Web of Science</t>
  </si>
  <si>
    <t>В журналах, рецензируемых ВАК</t>
  </si>
  <si>
    <t>В журналах, индексируемых в базах данных Scopus</t>
  </si>
  <si>
    <t>Участие ППС кафедр в проектах «ВУЗ-РЕГИОН»</t>
  </si>
  <si>
    <t>Реализация проекта "ВУЗ здорового образа жизни"</t>
  </si>
  <si>
    <t>Выполнение нормативов ГТО сотрудниками ВУЗа</t>
  </si>
  <si>
    <t>Золотой значок</t>
  </si>
  <si>
    <t>Серебряный значок</t>
  </si>
  <si>
    <t>Бронзовый значок</t>
  </si>
  <si>
    <t>Участие сотрудников АГМУ в вузовских соревнованиях</t>
  </si>
  <si>
    <t>Участие сотрудников ВУЗа в соревнованиях Центрального района</t>
  </si>
  <si>
    <t xml:space="preserve">Участие сотрудников ВУЗа в городских соревнованиях </t>
  </si>
  <si>
    <t>Участие сотрудников ВУЗа в краевых соревнованиях</t>
  </si>
  <si>
    <t>Участие сотрудников ВУЗа во Всероссийских соревнованиях</t>
  </si>
  <si>
    <t>Посещение спортивных секций, лыжногй базы АГМУ</t>
  </si>
  <si>
    <t xml:space="preserve">При заполнении показателя вносить целое число в случае участия сотрудников кафедры в определенном виде деятельности </t>
  </si>
  <si>
    <t>Удельный вес, %</t>
  </si>
  <si>
    <r>
      <t xml:space="preserve">Фактическая сумма дохода кафедр по </t>
    </r>
    <r>
      <rPr>
        <b/>
        <sz val="11"/>
        <color rgb="FFFF0000"/>
        <rFont val="Verdana"/>
        <family val="2"/>
        <charset val="204"/>
      </rPr>
      <t>ДПО</t>
    </r>
    <r>
      <rPr>
        <sz val="11"/>
        <color theme="1"/>
        <rFont val="Verdana"/>
        <family val="2"/>
        <charset val="204"/>
      </rPr>
      <t xml:space="preserve"> за отчетный период </t>
    </r>
    <r>
      <rPr>
        <b/>
        <sz val="11"/>
        <color rgb="FFFF0000"/>
        <rFont val="Verdana"/>
        <family val="2"/>
        <charset val="204"/>
      </rPr>
      <t>2023</t>
    </r>
    <r>
      <rPr>
        <sz val="11"/>
        <color theme="1"/>
        <rFont val="Verdana"/>
        <family val="2"/>
        <charset val="204"/>
      </rPr>
      <t xml:space="preserve"> г. (в руб.)</t>
    </r>
  </si>
  <si>
    <r>
      <t xml:space="preserve">Фактическая сумма дохода кафедр по </t>
    </r>
    <r>
      <rPr>
        <b/>
        <sz val="11"/>
        <color rgb="FF7030A0"/>
        <rFont val="Verdana"/>
        <family val="2"/>
        <charset val="204"/>
      </rPr>
      <t>ИДО</t>
    </r>
    <r>
      <rPr>
        <sz val="11"/>
        <color theme="1"/>
        <rFont val="Verdana"/>
        <family val="2"/>
        <charset val="204"/>
      </rPr>
      <t xml:space="preserve"> за отчетный период </t>
    </r>
    <r>
      <rPr>
        <b/>
        <sz val="11"/>
        <color rgb="FFFF0000"/>
        <rFont val="Verdana"/>
        <family val="2"/>
        <charset val="204"/>
      </rPr>
      <t>2023</t>
    </r>
    <r>
      <rPr>
        <sz val="11"/>
        <color theme="1"/>
        <rFont val="Verdana"/>
        <family val="2"/>
        <charset val="204"/>
      </rPr>
      <t xml:space="preserve"> г. (в руб.)</t>
    </r>
  </si>
  <si>
    <t>удельный вес</t>
  </si>
  <si>
    <t>Участие ППС в проектах</t>
  </si>
  <si>
    <t xml:space="preserve"> "Вуз зож"</t>
  </si>
  <si>
    <r>
      <t xml:space="preserve">Выполнение плана доходов по приносящей доход деятельности от образовательной деятельности по программам </t>
    </r>
    <r>
      <rPr>
        <b/>
        <sz val="11"/>
        <color rgb="FFFF0000"/>
        <rFont val="Tahoma"/>
        <family val="2"/>
        <charset val="204"/>
      </rPr>
      <t>ДПО</t>
    </r>
    <r>
      <rPr>
        <sz val="11"/>
        <color theme="1"/>
        <rFont val="Tahoma"/>
        <family val="2"/>
        <charset val="204"/>
      </rPr>
      <t xml:space="preserve"> кафедры (оценивается в суммарном показателе)</t>
    </r>
  </si>
  <si>
    <t>Выполнение плана доходов от образовательной деятельности, полученных от иностранных граждан и иностранных юридических лиц</t>
  </si>
  <si>
    <t>При заполнении показателя можно вносить дробные или целочисленные значения (количество работ, событий)</t>
  </si>
  <si>
    <t>ИТОГО ПО ИНСТИТУТУ/ФАКУЛЬТЕТУ (70% КАФЕДРЫ + 30% ДЕКАН ФАКУЛЬТЕТА):</t>
  </si>
  <si>
    <t>Кафедра травматологии, ортопедии и вертебрологии</t>
  </si>
  <si>
    <t>Кафедра кардиологии и сердечно-сосудистой хирургии с курсом ДПО</t>
  </si>
  <si>
    <t>Травматологии, ортопедии и вертебрологии</t>
  </si>
  <si>
    <t>Кардиологии и сердечно-сосудистой хирургии с курсом ДПО</t>
  </si>
  <si>
    <t>Количество выпускников, успешно прошедших государственную итоговую аттестацию (включая ФИС)</t>
  </si>
  <si>
    <t>Количество выпускников, заявленных для прохождения государственной итоговой аттестации (включая ФИС)</t>
  </si>
  <si>
    <t>Центр развития регионального здравоохранения</t>
  </si>
  <si>
    <t>Истории</t>
  </si>
  <si>
    <t>Анестезиологии и реаниматологии с курсом ДПО</t>
  </si>
  <si>
    <t>Клинической фармакологии</t>
  </si>
  <si>
    <t xml:space="preserve"> </t>
  </si>
  <si>
    <t>ОиДПО</t>
  </si>
  <si>
    <t>Институт ординатуры и ДПО</t>
  </si>
  <si>
    <r>
      <t xml:space="preserve">Выполнение плана </t>
    </r>
    <r>
      <rPr>
        <b/>
        <sz val="12"/>
        <color rgb="FF0000FF"/>
        <rFont val="Verdana"/>
        <family val="2"/>
        <charset val="204"/>
      </rPr>
      <t>учебных, учебно-методических изданий</t>
    </r>
    <r>
      <rPr>
        <sz val="12"/>
        <color theme="1"/>
        <rFont val="Verdana"/>
        <family val="2"/>
        <charset val="204"/>
      </rPr>
      <t xml:space="preserve"> кафедры по дисциплинам</t>
    </r>
    <r>
      <rPr>
        <b/>
        <sz val="12"/>
        <color theme="1"/>
        <rFont val="Verdana"/>
        <family val="2"/>
        <charset val="204"/>
      </rPr>
      <t xml:space="preserve"> СПЕЦИАЛИТЕТА</t>
    </r>
  </si>
  <si>
    <r>
      <t xml:space="preserve">Выполнение плана </t>
    </r>
    <r>
      <rPr>
        <b/>
        <sz val="12"/>
        <color rgb="FF0000FF"/>
        <rFont val="Verdana"/>
        <family val="2"/>
        <charset val="204"/>
      </rPr>
      <t>учебных изданий</t>
    </r>
    <r>
      <rPr>
        <sz val="12"/>
        <color theme="1"/>
        <rFont val="Verdana"/>
        <family val="2"/>
        <charset val="204"/>
      </rPr>
      <t xml:space="preserve"> кафедры по дисциплинам </t>
    </r>
    <r>
      <rPr>
        <b/>
        <sz val="12"/>
        <color theme="1"/>
        <rFont val="Verdana"/>
        <family val="2"/>
        <charset val="204"/>
      </rPr>
      <t>ОРДИНАТУРЫ</t>
    </r>
  </si>
  <si>
    <r>
      <t xml:space="preserve">Фактическая сумма дохода кафедр по </t>
    </r>
    <r>
      <rPr>
        <b/>
        <sz val="12"/>
        <color rgb="FFFF0000"/>
        <rFont val="Verdana"/>
        <family val="2"/>
        <charset val="204"/>
      </rPr>
      <t>ДПО</t>
    </r>
    <r>
      <rPr>
        <sz val="12"/>
        <color theme="1"/>
        <rFont val="Verdana"/>
        <family val="2"/>
        <charset val="204"/>
      </rPr>
      <t xml:space="preserve"> за отчетный период </t>
    </r>
    <r>
      <rPr>
        <b/>
        <sz val="12"/>
        <color rgb="FFFF0000"/>
        <rFont val="Verdana"/>
        <family val="2"/>
        <charset val="204"/>
      </rPr>
      <t>2023</t>
    </r>
    <r>
      <rPr>
        <sz val="12"/>
        <color theme="1"/>
        <rFont val="Verdana"/>
        <family val="2"/>
        <charset val="204"/>
      </rPr>
      <t xml:space="preserve"> г. (нарастающим итогом)</t>
    </r>
  </si>
  <si>
    <r>
      <t xml:space="preserve">Фактическая сумма дохода кафедр по </t>
    </r>
    <r>
      <rPr>
        <b/>
        <sz val="12"/>
        <color rgb="FF7030A0"/>
        <rFont val="Verdana"/>
        <family val="2"/>
        <charset val="204"/>
      </rPr>
      <t>ИДО</t>
    </r>
    <r>
      <rPr>
        <sz val="12"/>
        <color theme="1"/>
        <rFont val="Verdana"/>
        <family val="2"/>
        <charset val="204"/>
      </rPr>
      <t xml:space="preserve"> за отчетный период </t>
    </r>
    <r>
      <rPr>
        <b/>
        <sz val="12"/>
        <color rgb="FFFF0000"/>
        <rFont val="Verdana"/>
        <family val="2"/>
        <charset val="204"/>
      </rPr>
      <t>2023</t>
    </r>
    <r>
      <rPr>
        <sz val="12"/>
        <color theme="1"/>
        <rFont val="Verdana"/>
        <family val="2"/>
        <charset val="204"/>
      </rPr>
      <t xml:space="preserve"> г. (нарастающим итогом)</t>
    </r>
  </si>
  <si>
    <r>
      <rPr>
        <b/>
        <sz val="12"/>
        <color rgb="FF0000FF"/>
        <rFont val="Verdana"/>
        <family val="2"/>
        <charset val="204"/>
      </rPr>
      <t>Доход</t>
    </r>
    <r>
      <rPr>
        <sz val="12"/>
        <color theme="1"/>
        <rFont val="Verdana"/>
        <family val="2"/>
        <charset val="204"/>
      </rPr>
      <t xml:space="preserve"> кафедр от внебюджетных средств по программам </t>
    </r>
    <r>
      <rPr>
        <b/>
        <sz val="12"/>
        <color rgb="FFFF0000"/>
        <rFont val="Verdana"/>
        <family val="2"/>
        <charset val="204"/>
      </rPr>
      <t>ДПО</t>
    </r>
    <r>
      <rPr>
        <b/>
        <sz val="14"/>
        <color rgb="FF0000FF"/>
        <rFont val="Verdana"/>
        <family val="2"/>
        <charset val="204"/>
      </rPr>
      <t/>
    </r>
  </si>
  <si>
    <t>Фактическое количество в рассчете на 1 НПР</t>
  </si>
  <si>
    <t>Фактическое количество выполнения показателя (нарастающим итогом)</t>
  </si>
  <si>
    <t>Объем доходов от НИОКР в расчете на 1 НПР (целевой ориентир – 51,5 тыс. руб. на 1 НПР в год; 25,8 тыс. руб. в полугодие, показатель рассчитывается раз в полугодие)</t>
  </si>
  <si>
    <r>
      <rPr>
        <b/>
        <sz val="11"/>
        <color theme="1"/>
        <rFont val="Tahoma"/>
        <family val="2"/>
        <charset val="204"/>
      </rPr>
      <t>7.1</t>
    </r>
    <r>
      <rPr>
        <sz val="11"/>
        <color theme="1"/>
        <rFont val="Tahoma"/>
        <family val="2"/>
        <charset val="204"/>
      </rPr>
      <t xml:space="preserve"> Организация тестирования медицинских работников, ординаторов, студентов старших курсов на знание клинических рекомендаций по наиболее значимым нозологиям (создание тестов, проведение тестирования, анализ результатов тестирования, проведение корректирующих мероприятий, повторное тестирование).</t>
    </r>
  </si>
  <si>
    <r>
      <rPr>
        <b/>
        <sz val="11"/>
        <color theme="1"/>
        <rFont val="Tahoma"/>
        <family val="2"/>
        <charset val="204"/>
      </rPr>
      <t>7.4</t>
    </r>
    <r>
      <rPr>
        <sz val="11"/>
        <color theme="1"/>
        <rFont val="Tahoma"/>
        <family val="2"/>
        <charset val="204"/>
      </rPr>
      <t xml:space="preserve"> Проведение образовательных мероприятий в рамках Учебного центра медицины катастроф с представителями служб экстренного реагирования и силовых структур по оказанию первой помощи.</t>
    </r>
  </si>
  <si>
    <r>
      <rPr>
        <b/>
        <sz val="11"/>
        <color theme="1"/>
        <rFont val="Tahoma"/>
        <family val="2"/>
        <charset val="204"/>
      </rPr>
      <t xml:space="preserve">7.7 </t>
    </r>
    <r>
      <rPr>
        <sz val="11"/>
        <color theme="1"/>
        <rFont val="Tahoma"/>
        <family val="2"/>
        <charset val="204"/>
      </rPr>
      <t>Участие ППС кафедр в работе коллегиальных органов, создаваемых при органах государственной власти: Министерстве здравоохранения Алтайского края, Министерстве образования и науки Алтайского края, Министерстве социальной защиты Алтайского края и др. (экспертные советы, аттестационные комиссии, научно-координационные советы и др.).</t>
    </r>
  </si>
  <si>
    <r>
      <rPr>
        <b/>
        <sz val="11"/>
        <color theme="1"/>
        <rFont val="Tahoma"/>
        <family val="2"/>
        <charset val="204"/>
      </rPr>
      <t xml:space="preserve">7.11 </t>
    </r>
    <r>
      <rPr>
        <sz val="11"/>
        <color theme="1"/>
        <rFont val="Tahoma"/>
        <family val="2"/>
        <charset val="204"/>
      </rPr>
      <t>Проведение научно-практических конференций, симпозиумов совместно с Министерством здравоохранения Алтайского края, Министерством образования и науки Алтайского края в соответствии с приказом.</t>
    </r>
  </si>
  <si>
    <r>
      <rPr>
        <b/>
        <sz val="11"/>
        <color theme="1"/>
        <rFont val="Tahoma"/>
        <family val="2"/>
        <charset val="204"/>
      </rPr>
      <t>7.12</t>
    </r>
    <r>
      <rPr>
        <sz val="11"/>
        <color theme="1"/>
        <rFont val="Tahoma"/>
        <family val="2"/>
        <charset val="204"/>
      </rPr>
      <t xml:space="preserve"> Подготовка аналитических материалов по различным направлениям деятельности по поручению Министерства здравоохранения Алтайского края.</t>
    </r>
  </si>
  <si>
    <r>
      <rPr>
        <b/>
        <sz val="11"/>
        <color theme="1"/>
        <rFont val="Tahoma"/>
        <family val="2"/>
        <charset val="204"/>
      </rPr>
      <t xml:space="preserve">7.9 </t>
    </r>
    <r>
      <rPr>
        <sz val="11"/>
        <color theme="1"/>
        <rFont val="Tahoma"/>
        <family val="2"/>
        <charset val="204"/>
      </rPr>
      <t>Участие ППС кафедр в законодательных органах г. Барнаула, Алтайского края (профильные комитеты, депутатские и экспертные рабочие группы и др.).</t>
    </r>
  </si>
  <si>
    <r>
      <rPr>
        <b/>
        <sz val="11"/>
        <color theme="1"/>
        <rFont val="Tahoma"/>
        <family val="2"/>
        <charset val="204"/>
      </rPr>
      <t>7.13</t>
    </r>
    <r>
      <rPr>
        <sz val="11"/>
        <color theme="1"/>
        <rFont val="Tahoma"/>
        <family val="2"/>
        <charset val="204"/>
      </rPr>
      <t xml:space="preserve"> Иные проекты на основании служебной записки заведующего кафедрой. </t>
    </r>
  </si>
  <si>
    <r>
      <rPr>
        <b/>
        <sz val="11"/>
        <rFont val="Tahoma"/>
        <family val="2"/>
        <charset val="204"/>
      </rPr>
      <t xml:space="preserve">7.3 </t>
    </r>
    <r>
      <rPr>
        <sz val="11"/>
        <rFont val="Tahoma"/>
        <family val="2"/>
        <charset val="204"/>
      </rPr>
      <t>Взаимодействие с практическим здравоохранением Алтайского края по разработке клинических рекомендаций, стандартизированных операционных процедур.</t>
    </r>
  </si>
  <si>
    <r>
      <rPr>
        <b/>
        <sz val="11"/>
        <color theme="1"/>
        <rFont val="Tahoma"/>
        <family val="2"/>
        <charset val="204"/>
      </rPr>
      <t>7.5</t>
    </r>
    <r>
      <rPr>
        <sz val="11"/>
        <color theme="1"/>
        <rFont val="Tahoma"/>
        <family val="2"/>
        <charset val="204"/>
      </rPr>
      <t xml:space="preserve"> Лечебно-организационная работа ППС кафедры, являющимися внештатными специалистами Министерства здравоохранения Алтайского края (представление аналитического отчета, справки, рекомендаций и др. по направлению деятельности директору Проектного офиса по развитию регионального здравоохранения, председателю Медицинского совета).</t>
    </r>
  </si>
  <si>
    <r>
      <rPr>
        <b/>
        <sz val="11"/>
        <color theme="1"/>
        <rFont val="Tahoma"/>
        <family val="2"/>
        <charset val="204"/>
      </rPr>
      <t xml:space="preserve">7.6 </t>
    </r>
    <r>
      <rPr>
        <sz val="11"/>
        <color theme="1"/>
        <rFont val="Tahoma"/>
        <family val="2"/>
        <charset val="204"/>
      </rPr>
      <t>Создание дополнительных циклов ДПО по заявкам Министерства здравоохранения Алтайского края (сведения согласуются с институтом ординатуры и дополнительного профессионального образования).</t>
    </r>
  </si>
  <si>
    <r>
      <rPr>
        <b/>
        <sz val="11"/>
        <color theme="1"/>
        <rFont val="Tahoma"/>
        <family val="2"/>
        <charset val="204"/>
      </rPr>
      <t xml:space="preserve">7.8 </t>
    </r>
    <r>
      <rPr>
        <sz val="11"/>
        <color theme="1"/>
        <rFont val="Tahoma"/>
        <family val="2"/>
        <charset val="204"/>
      </rPr>
      <t>Участие ППС кафедры в профессиональных сообществах Алтайского края (представление аналитического отчета, справки, рекомендаций и др. по направлению деятельности профессионального сообщества директору Проектного офиса по развитию регионального здравоохранения, председателю Медицинского совета).</t>
    </r>
  </si>
  <si>
    <r>
      <rPr>
        <b/>
        <sz val="11"/>
        <color theme="1"/>
        <rFont val="Tahoma"/>
        <family val="2"/>
        <charset val="204"/>
      </rPr>
      <t>7.10</t>
    </r>
    <r>
      <rPr>
        <sz val="11"/>
        <color theme="1"/>
        <rFont val="Tahoma"/>
        <family val="2"/>
        <charset val="204"/>
      </rPr>
      <t xml:space="preserve"> Наличие среди ППС кафедры руководителей клинических баз, назначенных приказом ФГБОУ ВО АГМУ Минздрава России (представление аналитического отчета, справки, рекомендаций и др. по направлению деятельности клинической базы директору Проектного офиса по развитию регионального здравоохранения, председателю Медицинского совета).</t>
    </r>
  </si>
  <si>
    <t>Баллы</t>
  </si>
  <si>
    <r>
      <rPr>
        <b/>
        <sz val="11"/>
        <rFont val="Tahoma"/>
        <family val="2"/>
        <charset val="204"/>
      </rPr>
      <t>7.2</t>
    </r>
    <r>
      <rPr>
        <sz val="11"/>
        <rFont val="Tahoma"/>
        <family val="2"/>
        <charset val="204"/>
      </rPr>
      <t xml:space="preserve"> Участие ППС кафедры в реализации реги-ональных программ по здоровьесбережению:
- проведение выездных мероприятий по обучению, профилактике, лечению (чтение лекций, проведение скрининга, мастер-классов;
- участие ППС в качестве эксперта в СМИ и др.</t>
    </r>
  </si>
  <si>
    <t>Кол-во баллов</t>
  </si>
  <si>
    <t>Балл</t>
  </si>
  <si>
    <t>балл</t>
  </si>
  <si>
    <t>Количество Баллов</t>
  </si>
  <si>
    <t>Количество баллов</t>
  </si>
  <si>
    <r>
      <t>% выполнения</t>
    </r>
    <r>
      <rPr>
        <b/>
        <sz val="11"/>
        <color rgb="FF0000FF"/>
        <rFont val="Tahoma"/>
        <family val="2"/>
        <charset val="204"/>
      </rPr>
      <t xml:space="preserve"> за 1 полугодие (в 100% шкале)</t>
    </r>
  </si>
  <si>
    <r>
      <t>% выполнения</t>
    </r>
    <r>
      <rPr>
        <b/>
        <sz val="11"/>
        <color rgb="FF0000FF"/>
        <rFont val="Tahoma"/>
        <family val="2"/>
        <charset val="204"/>
      </rPr>
      <t xml:space="preserve"> за год (в 100% шкале)</t>
    </r>
  </si>
  <si>
    <r>
      <t>Планирование,</t>
    </r>
    <r>
      <rPr>
        <b/>
        <sz val="11"/>
        <color rgb="FF0000FF"/>
        <rFont val="Tahoma"/>
        <family val="2"/>
        <charset val="204"/>
      </rPr>
      <t xml:space="preserve"> на год на кафедру</t>
    </r>
    <r>
      <rPr>
        <b/>
        <sz val="11"/>
        <color theme="1"/>
        <rFont val="Tahoma"/>
        <family val="2"/>
        <charset val="204"/>
      </rPr>
      <t>, с учетом  количества НПР кафеды</t>
    </r>
  </si>
  <si>
    <r>
      <rPr>
        <b/>
        <sz val="11"/>
        <color rgb="FF0000FF"/>
        <rFont val="Tahoma"/>
        <family val="2"/>
        <charset val="204"/>
      </rPr>
      <t>Критерий 1</t>
    </r>
    <r>
      <rPr>
        <sz val="11"/>
        <color theme="1"/>
        <rFont val="Tahoma"/>
        <family val="2"/>
        <charset val="204"/>
      </rPr>
      <t>, фактическое количество событий</t>
    </r>
  </si>
  <si>
    <r>
      <t xml:space="preserve">Внутривузовские </t>
    </r>
    <r>
      <rPr>
        <sz val="11"/>
        <color rgb="FF0000FF"/>
        <rFont val="Tahoma"/>
        <family val="2"/>
        <charset val="204"/>
      </rPr>
      <t>учебно-методические мероприятия</t>
    </r>
  </si>
  <si>
    <r>
      <t xml:space="preserve">Образовательные </t>
    </r>
    <r>
      <rPr>
        <sz val="11"/>
        <color rgb="FF0000FF"/>
        <rFont val="Tahoma"/>
        <family val="2"/>
        <charset val="204"/>
      </rPr>
      <t>мероприятия НМО</t>
    </r>
  </si>
  <si>
    <r>
      <t xml:space="preserve">Организация </t>
    </r>
    <r>
      <rPr>
        <b/>
        <sz val="11"/>
        <color rgb="FF0000FF"/>
        <rFont val="Tahoma"/>
        <family val="2"/>
        <charset val="204"/>
      </rPr>
      <t>внутривузовской</t>
    </r>
    <r>
      <rPr>
        <sz val="11"/>
        <color theme="1"/>
        <rFont val="Tahoma"/>
        <family val="2"/>
        <charset val="204"/>
      </rPr>
      <t xml:space="preserve"> </t>
    </r>
    <r>
      <rPr>
        <sz val="11"/>
        <color rgb="FF0000FF"/>
        <rFont val="Tahoma"/>
        <family val="2"/>
        <charset val="204"/>
      </rPr>
      <t>олимпиады для студентов</t>
    </r>
  </si>
  <si>
    <r>
      <t xml:space="preserve">Организация </t>
    </r>
    <r>
      <rPr>
        <b/>
        <sz val="11"/>
        <color rgb="FF0000FF"/>
        <rFont val="Tahoma"/>
        <family val="2"/>
        <charset val="204"/>
      </rPr>
      <t>международной,</t>
    </r>
    <r>
      <rPr>
        <sz val="11"/>
        <color theme="1"/>
        <rFont val="Tahoma"/>
        <family val="2"/>
        <charset val="204"/>
      </rPr>
      <t xml:space="preserve"> </t>
    </r>
    <r>
      <rPr>
        <b/>
        <sz val="11"/>
        <color rgb="FF0000FF"/>
        <rFont val="Tahoma"/>
        <family val="2"/>
        <charset val="204"/>
      </rPr>
      <t xml:space="preserve">всероссийской, межрегиональной, региональной </t>
    </r>
    <r>
      <rPr>
        <sz val="11"/>
        <color rgb="FF0000FF"/>
        <rFont val="Tahoma"/>
        <family val="2"/>
        <charset val="204"/>
      </rPr>
      <t>олимпиады для студентов</t>
    </r>
  </si>
  <si>
    <r>
      <t>Организация</t>
    </r>
    <r>
      <rPr>
        <sz val="11"/>
        <color rgb="FF0000FF"/>
        <rFont val="Tahoma"/>
        <family val="2"/>
        <charset val="204"/>
      </rPr>
      <t xml:space="preserve"> культурно-развлекательных (воспитательных) мероприятий вуза</t>
    </r>
    <r>
      <rPr>
        <sz val="11"/>
        <color theme="1"/>
        <rFont val="Tahoma"/>
        <family val="2"/>
        <charset val="204"/>
      </rPr>
      <t>, направленных на формирование здорового образа жизни у обучающихся</t>
    </r>
  </si>
  <si>
    <r>
      <rPr>
        <b/>
        <sz val="11"/>
        <color theme="1"/>
        <rFont val="Tahoma"/>
        <family val="2"/>
        <charset val="204"/>
      </rPr>
      <t xml:space="preserve">международная  </t>
    </r>
    <r>
      <rPr>
        <sz val="11"/>
        <color theme="1"/>
        <rFont val="Tahoma"/>
        <family val="2"/>
        <charset val="204"/>
      </rPr>
      <t>олимпиада для студентов</t>
    </r>
  </si>
  <si>
    <r>
      <rPr>
        <b/>
        <sz val="11"/>
        <color theme="1"/>
        <rFont val="Tahoma"/>
        <family val="2"/>
        <charset val="204"/>
      </rPr>
      <t xml:space="preserve">всероссийская </t>
    </r>
    <r>
      <rPr>
        <sz val="11"/>
        <color theme="1"/>
        <rFont val="Tahoma"/>
        <family val="2"/>
        <charset val="204"/>
      </rPr>
      <t>олимпиада для студентов</t>
    </r>
  </si>
  <si>
    <r>
      <rPr>
        <b/>
        <sz val="11"/>
        <color theme="1"/>
        <rFont val="Tahoma"/>
        <family val="2"/>
        <charset val="204"/>
      </rPr>
      <t>межрегиональная, региональная</t>
    </r>
    <r>
      <rPr>
        <sz val="11"/>
        <color theme="1"/>
        <rFont val="Tahoma"/>
        <family val="2"/>
        <charset val="204"/>
      </rPr>
      <t xml:space="preserve"> олимпиада для студентов</t>
    </r>
  </si>
  <si>
    <r>
      <rPr>
        <b/>
        <sz val="11"/>
        <color theme="1"/>
        <rFont val="Tahoma"/>
        <family val="2"/>
        <charset val="204"/>
      </rPr>
      <t>внутривузовская</t>
    </r>
    <r>
      <rPr>
        <sz val="11"/>
        <color theme="1"/>
        <rFont val="Tahoma"/>
        <family val="2"/>
        <charset val="204"/>
      </rPr>
      <t xml:space="preserve"> олимпиада для студентов</t>
    </r>
  </si>
  <si>
    <r>
      <t xml:space="preserve">Фактическое количество </t>
    </r>
    <r>
      <rPr>
        <b/>
        <sz val="11"/>
        <color theme="1"/>
        <rFont val="Tahoma"/>
        <family val="2"/>
        <charset val="204"/>
      </rPr>
      <t>ППС</t>
    </r>
    <r>
      <rPr>
        <sz val="11"/>
        <color theme="1"/>
        <rFont val="Tahoma"/>
        <family val="2"/>
        <charset val="204"/>
      </rPr>
      <t xml:space="preserve"> (</t>
    </r>
    <r>
      <rPr>
        <b/>
        <sz val="11"/>
        <color theme="1"/>
        <rFont val="Tahoma"/>
        <family val="2"/>
        <charset val="204"/>
      </rPr>
      <t>ВСЕ</t>
    </r>
    <r>
      <rPr>
        <sz val="11"/>
        <color theme="1"/>
        <rFont val="Tahoma"/>
        <family val="2"/>
        <charset val="204"/>
      </rPr>
      <t>=основных+внутренних совместителей+внешних совместителей)</t>
    </r>
  </si>
  <si>
    <r>
      <t xml:space="preserve">Фактическое количество </t>
    </r>
    <r>
      <rPr>
        <b/>
        <sz val="11"/>
        <color theme="1"/>
        <rFont val="Tahoma"/>
        <family val="2"/>
        <charset val="204"/>
      </rPr>
      <t>ППС</t>
    </r>
    <r>
      <rPr>
        <sz val="11"/>
        <color theme="1"/>
        <rFont val="Tahoma"/>
        <family val="2"/>
        <charset val="204"/>
      </rPr>
      <t xml:space="preserve"> (</t>
    </r>
    <r>
      <rPr>
        <b/>
        <sz val="11"/>
        <color theme="1"/>
        <rFont val="Tahoma"/>
        <family val="2"/>
        <charset val="204"/>
      </rPr>
      <t>основных</t>
    </r>
    <r>
      <rPr>
        <sz val="11"/>
        <color theme="1"/>
        <rFont val="Tahoma"/>
        <family val="2"/>
        <charset val="204"/>
      </rPr>
      <t>)</t>
    </r>
  </si>
  <si>
    <r>
      <t xml:space="preserve">Фактическое количество </t>
    </r>
    <r>
      <rPr>
        <b/>
        <sz val="11"/>
        <color theme="1"/>
        <rFont val="Tahoma"/>
        <family val="2"/>
        <charset val="204"/>
      </rPr>
      <t>ППС</t>
    </r>
    <r>
      <rPr>
        <sz val="11"/>
        <color theme="1"/>
        <rFont val="Tahoma"/>
        <family val="2"/>
        <charset val="204"/>
      </rPr>
      <t xml:space="preserve"> (</t>
    </r>
    <r>
      <rPr>
        <b/>
        <sz val="11"/>
        <color theme="1"/>
        <rFont val="Tahoma"/>
        <family val="2"/>
        <charset val="204"/>
      </rPr>
      <t>внешних совместителей</t>
    </r>
    <r>
      <rPr>
        <sz val="11"/>
        <color theme="1"/>
        <rFont val="Tahoma"/>
        <family val="2"/>
        <charset val="204"/>
      </rPr>
      <t>)</t>
    </r>
  </si>
  <si>
    <r>
      <t xml:space="preserve">Количество </t>
    </r>
    <r>
      <rPr>
        <b/>
        <sz val="11"/>
        <color theme="1"/>
        <rFont val="Tahoma"/>
        <family val="2"/>
        <charset val="204"/>
      </rPr>
      <t>ставок (всего)</t>
    </r>
  </si>
  <si>
    <r>
      <t xml:space="preserve">Количество занятых </t>
    </r>
    <r>
      <rPr>
        <b/>
        <sz val="11"/>
        <color theme="1"/>
        <rFont val="Tahoma"/>
        <family val="2"/>
        <charset val="204"/>
      </rPr>
      <t>ставок (всего)</t>
    </r>
  </si>
  <si>
    <r>
      <t xml:space="preserve">Количество ставок, занятых </t>
    </r>
    <r>
      <rPr>
        <b/>
        <sz val="11"/>
        <color theme="1"/>
        <rFont val="Tahoma"/>
        <family val="2"/>
        <charset val="204"/>
      </rPr>
      <t>основными</t>
    </r>
    <r>
      <rPr>
        <sz val="11"/>
        <color theme="1"/>
        <rFont val="Tahoma"/>
        <family val="2"/>
        <charset val="204"/>
      </rPr>
      <t xml:space="preserve"> </t>
    </r>
    <r>
      <rPr>
        <b/>
        <sz val="11"/>
        <color theme="1"/>
        <rFont val="Tahoma"/>
        <family val="2"/>
        <charset val="204"/>
      </rPr>
      <t>ППС</t>
    </r>
    <r>
      <rPr>
        <sz val="11"/>
        <color theme="1"/>
        <rFont val="Tahoma"/>
        <family val="2"/>
        <charset val="204"/>
      </rPr>
      <t xml:space="preserve"> + </t>
    </r>
    <r>
      <rPr>
        <b/>
        <sz val="11"/>
        <color theme="1"/>
        <rFont val="Tahoma"/>
        <family val="2"/>
        <charset val="204"/>
      </rPr>
      <t>внутренними совместителями</t>
    </r>
    <r>
      <rPr>
        <sz val="11"/>
        <color theme="1"/>
        <rFont val="Tahoma"/>
        <family val="2"/>
        <charset val="204"/>
      </rPr>
      <t xml:space="preserve"> + почасовка</t>
    </r>
  </si>
  <si>
    <r>
      <t>Количество</t>
    </r>
    <r>
      <rPr>
        <b/>
        <sz val="11"/>
        <color theme="1"/>
        <rFont val="Tahoma"/>
        <family val="2"/>
        <charset val="204"/>
      </rPr>
      <t xml:space="preserve"> ставок занятых внешними совместителями</t>
    </r>
  </si>
  <si>
    <r>
      <t>Количество занятых ставок</t>
    </r>
    <r>
      <rPr>
        <b/>
        <sz val="11"/>
        <color theme="1"/>
        <rFont val="Tahoma"/>
        <family val="2"/>
        <charset val="204"/>
      </rPr>
      <t xml:space="preserve"> ППС </t>
    </r>
    <r>
      <rPr>
        <sz val="11"/>
        <color theme="1"/>
        <rFont val="Tahoma"/>
        <family val="2"/>
        <charset val="204"/>
      </rPr>
      <t xml:space="preserve">имеющими ученую степень </t>
    </r>
    <r>
      <rPr>
        <b/>
        <sz val="11"/>
        <color theme="1"/>
        <rFont val="Tahoma"/>
        <family val="2"/>
        <charset val="204"/>
      </rPr>
      <t>(Всего)</t>
    </r>
  </si>
  <si>
    <r>
      <t>Количество занятых ставок ППС имеющими ученую степень (</t>
    </r>
    <r>
      <rPr>
        <b/>
        <sz val="11"/>
        <color theme="1"/>
        <rFont val="Tahoma"/>
        <family val="2"/>
        <charset val="204"/>
      </rPr>
      <t>основными ППС + внутренними совместителями (АХЧ, НУ, др.) + почасовка</t>
    </r>
    <r>
      <rPr>
        <sz val="11"/>
        <color theme="1"/>
        <rFont val="Tahoma"/>
        <family val="2"/>
        <charset val="204"/>
      </rPr>
      <t>)</t>
    </r>
  </si>
  <si>
    <r>
      <t xml:space="preserve">Количество занятых ставок </t>
    </r>
    <r>
      <rPr>
        <b/>
        <sz val="11"/>
        <color theme="1"/>
        <rFont val="Tahoma"/>
        <family val="2"/>
        <charset val="204"/>
      </rPr>
      <t>внешними совместителями</t>
    </r>
    <r>
      <rPr>
        <sz val="11"/>
        <color theme="1"/>
        <rFont val="Tahoma"/>
        <family val="2"/>
        <charset val="204"/>
      </rPr>
      <t xml:space="preserve"> имеющими ученую степень</t>
    </r>
  </si>
  <si>
    <r>
      <t xml:space="preserve">Количество </t>
    </r>
    <r>
      <rPr>
        <sz val="11"/>
        <color rgb="FF0000FF"/>
        <rFont val="Tahoma"/>
        <family val="2"/>
        <charset val="204"/>
      </rPr>
      <t xml:space="preserve">ставок </t>
    </r>
    <r>
      <rPr>
        <sz val="11"/>
        <color theme="1"/>
        <rFont val="Tahoma"/>
        <family val="2"/>
        <charset val="204"/>
      </rPr>
      <t xml:space="preserve">занятых ППС, на которых </t>
    </r>
    <r>
      <rPr>
        <sz val="11"/>
        <color rgb="FF0000FF"/>
        <rFont val="Tahoma"/>
        <family val="2"/>
        <charset val="204"/>
      </rPr>
      <t xml:space="preserve">распространяется </t>
    </r>
    <r>
      <rPr>
        <b/>
        <sz val="11"/>
        <color rgb="FF0000FF"/>
        <rFont val="Tahoma"/>
        <family val="2"/>
        <charset val="204"/>
      </rPr>
      <t>мораторий</t>
    </r>
  </si>
  <si>
    <r>
      <t>Фактическое количество</t>
    </r>
    <r>
      <rPr>
        <b/>
        <sz val="11"/>
        <color theme="1"/>
        <rFont val="Tahoma"/>
        <family val="2"/>
        <charset val="204"/>
      </rPr>
      <t>НР (внутренних</t>
    </r>
    <r>
      <rPr>
        <sz val="11"/>
        <color theme="1"/>
        <rFont val="Tahoma"/>
        <family val="2"/>
        <charset val="204"/>
      </rPr>
      <t xml:space="preserve"> совместителей)</t>
    </r>
  </si>
  <si>
    <r>
      <t>Фактическое количество</t>
    </r>
    <r>
      <rPr>
        <b/>
        <sz val="11"/>
        <color theme="1"/>
        <rFont val="Tahoma"/>
        <family val="2"/>
        <charset val="204"/>
      </rPr>
      <t xml:space="preserve"> НР (внешних</t>
    </r>
    <r>
      <rPr>
        <sz val="11"/>
        <color theme="1"/>
        <rFont val="Tahoma"/>
        <family val="2"/>
        <charset val="204"/>
      </rPr>
      <t>)</t>
    </r>
  </si>
  <si>
    <r>
      <t xml:space="preserve">Фактическое количество </t>
    </r>
    <r>
      <rPr>
        <b/>
        <sz val="11"/>
        <color theme="1"/>
        <rFont val="Tahoma"/>
        <family val="2"/>
        <charset val="204"/>
      </rPr>
      <t>ставок</t>
    </r>
    <r>
      <rPr>
        <sz val="11"/>
        <color theme="1"/>
        <rFont val="Tahoma"/>
        <family val="2"/>
        <charset val="204"/>
      </rPr>
      <t xml:space="preserve"> </t>
    </r>
    <r>
      <rPr>
        <b/>
        <sz val="11"/>
        <color theme="1"/>
        <rFont val="Tahoma"/>
        <family val="2"/>
        <charset val="204"/>
      </rPr>
      <t>НР (внутренних</t>
    </r>
    <r>
      <rPr>
        <sz val="11"/>
        <color theme="1"/>
        <rFont val="Tahoma"/>
        <family val="2"/>
        <charset val="204"/>
      </rPr>
      <t xml:space="preserve"> совместителей)</t>
    </r>
  </si>
  <si>
    <r>
      <t>Фактическое количество</t>
    </r>
    <r>
      <rPr>
        <b/>
        <sz val="11"/>
        <color theme="1"/>
        <rFont val="Tahoma"/>
        <family val="2"/>
        <charset val="204"/>
      </rPr>
      <t xml:space="preserve"> ставок НР (внешних</t>
    </r>
    <r>
      <rPr>
        <sz val="11"/>
        <color theme="1"/>
        <rFont val="Tahoma"/>
        <family val="2"/>
        <charset val="204"/>
      </rPr>
      <t>)</t>
    </r>
  </si>
  <si>
    <r>
      <t xml:space="preserve">Число </t>
    </r>
    <r>
      <rPr>
        <b/>
        <sz val="12"/>
        <color theme="1"/>
        <rFont val="Verdana"/>
        <family val="2"/>
        <charset val="204"/>
      </rPr>
      <t>ординаторов выпускников кафедры</t>
    </r>
    <r>
      <rPr>
        <sz val="12"/>
        <color theme="1"/>
        <rFont val="Verdana"/>
        <family val="2"/>
        <charset val="204"/>
      </rPr>
      <t xml:space="preserve">, не сдавших (не прошедших) первичную специализированную аккредитацию, из числа заявленных. </t>
    </r>
    <r>
      <rPr>
        <b/>
        <sz val="12"/>
        <color rgb="FFFF0000"/>
        <rFont val="Verdana"/>
        <family val="2"/>
        <charset val="204"/>
      </rPr>
      <t>(3 квартал)</t>
    </r>
  </si>
  <si>
    <t>Наличие хотя бы одного ординатора, не прошедшего первичную специализиро-ванную аккредитацию – ведёт к 100% неисполнению показателя.</t>
  </si>
  <si>
    <t>Фактическое количество не сдавших (не прошедших) первичную специализированную аккредитацию.</t>
  </si>
  <si>
    <r>
      <t xml:space="preserve">Число </t>
    </r>
    <r>
      <rPr>
        <b/>
        <sz val="12"/>
        <color theme="1"/>
        <rFont val="Verdana"/>
        <family val="2"/>
        <charset val="204"/>
      </rPr>
      <t xml:space="preserve">обучающихся, заявленных и не прошедших </t>
    </r>
    <r>
      <rPr>
        <sz val="12"/>
        <color theme="1"/>
        <rFont val="Verdana"/>
        <family val="2"/>
        <charset val="204"/>
      </rPr>
      <t xml:space="preserve">аккредитацию специалиста из числа слушателей по </t>
    </r>
    <r>
      <rPr>
        <b/>
        <sz val="12"/>
        <color theme="1"/>
        <rFont val="Verdana"/>
        <family val="2"/>
        <charset val="204"/>
      </rPr>
      <t xml:space="preserve">дополнительным профессиональным программам. </t>
    </r>
    <r>
      <rPr>
        <b/>
        <sz val="12"/>
        <color rgb="FFFF0000"/>
        <rFont val="Verdana"/>
        <family val="2"/>
        <charset val="204"/>
      </rPr>
      <t>(1, 3 квартал)</t>
    </r>
  </si>
  <si>
    <t>↓Выполнение кафедрами плана проведения международных, всероссийских, региональных, внутривузовских олимпиад для студентов (конференций и пр.).↓</t>
  </si>
  <si>
    <t>↓Выполнение кафедрами плана внутриву-зовских учебно-методических мероприятий (круглых столов, семинаров, конференций), образовательных мероприятий по непрерывному медицинскому и фармацевтическому образованию (НМО и ФО), международных мероприятий на базе АГМУ.↓</t>
  </si>
  <si>
    <r>
      <t xml:space="preserve">Плановое количество </t>
    </r>
    <r>
      <rPr>
        <b/>
        <sz val="12"/>
        <color rgb="FF0000FF"/>
        <rFont val="Verdana"/>
        <family val="2"/>
        <charset val="204"/>
      </rPr>
      <t>видеолекций, вебинаров и пр.</t>
    </r>
    <r>
      <rPr>
        <sz val="12"/>
        <color theme="1"/>
        <rFont val="Verdana"/>
        <family val="2"/>
        <charset val="204"/>
      </rPr>
      <t xml:space="preserve"> по дисциплинам специалитета</t>
    </r>
  </si>
  <si>
    <t>↓Участие ППС кафедры в профориентационной работе вуза по привлечению абитуриентов, в том числе из медицинских колледжей↓</t>
  </si>
  <si>
    <t>↓Выполнение плана проведённых культурно-развлекательных (воспитательных) мероприятий вуза, направленных на формирование здорового образа жизни у обучающихся↓</t>
  </si>
  <si>
    <t>Клиническая</t>
  </si>
  <si>
    <t>Теоретическая</t>
  </si>
  <si>
    <r>
      <rPr>
        <b/>
        <sz val="16"/>
        <color rgb="FF0000FF"/>
        <rFont val="Tahoma"/>
        <family val="2"/>
        <charset val="204"/>
      </rPr>
      <t>Доход</t>
    </r>
    <r>
      <rPr>
        <sz val="12"/>
        <color theme="1"/>
        <rFont val="Tahoma"/>
        <family val="2"/>
        <charset val="204"/>
      </rPr>
      <t xml:space="preserve"> кафедры от </t>
    </r>
    <r>
      <rPr>
        <b/>
        <sz val="14"/>
        <color rgb="FFFF0000"/>
        <rFont val="Tahoma"/>
        <family val="2"/>
        <charset val="204"/>
      </rPr>
      <t>ИДО</t>
    </r>
    <r>
      <rPr>
        <sz val="12"/>
        <color theme="1"/>
        <rFont val="Tahoma"/>
        <family val="2"/>
        <charset val="204"/>
      </rPr>
      <t xml:space="preserve"> </t>
    </r>
    <r>
      <rPr>
        <b/>
        <sz val="14"/>
        <color rgb="FF0000FF"/>
        <rFont val="Tahoma"/>
        <family val="2"/>
        <charset val="204"/>
      </rPr>
      <t>2023</t>
    </r>
    <r>
      <rPr>
        <sz val="12"/>
        <color theme="1"/>
        <rFont val="Tahoma"/>
        <family val="2"/>
        <charset val="204"/>
      </rPr>
      <t xml:space="preserve"> год</t>
    </r>
  </si>
  <si>
    <r>
      <rPr>
        <b/>
        <sz val="16"/>
        <color rgb="FF0000FF"/>
        <rFont val="Tahoma"/>
        <family val="2"/>
        <charset val="204"/>
      </rPr>
      <t>Доход</t>
    </r>
    <r>
      <rPr>
        <sz val="12"/>
        <color theme="1"/>
        <rFont val="Tahoma"/>
        <family val="2"/>
        <charset val="204"/>
      </rPr>
      <t xml:space="preserve"> кафедры от </t>
    </r>
    <r>
      <rPr>
        <b/>
        <sz val="14"/>
        <color rgb="FFFF0000"/>
        <rFont val="Tahoma"/>
        <family val="2"/>
        <charset val="204"/>
      </rPr>
      <t>ИДО</t>
    </r>
    <r>
      <rPr>
        <sz val="12"/>
        <color theme="1"/>
        <rFont val="Tahoma"/>
        <family val="2"/>
        <charset val="204"/>
      </rPr>
      <t xml:space="preserve"> </t>
    </r>
    <r>
      <rPr>
        <b/>
        <sz val="16"/>
        <color rgb="FF0000FF"/>
        <rFont val="Tahoma"/>
        <family val="2"/>
        <charset val="204"/>
      </rPr>
      <t>2024</t>
    </r>
    <r>
      <rPr>
        <sz val="12"/>
        <color theme="1"/>
        <rFont val="Tahoma"/>
        <family val="2"/>
        <charset val="204"/>
      </rPr>
      <t xml:space="preserve"> год</t>
    </r>
  </si>
  <si>
    <t>ИДО2024</t>
  </si>
  <si>
    <t>ИДО20241</t>
  </si>
  <si>
    <t>ИДО20242</t>
  </si>
  <si>
    <t>ИДО20243</t>
  </si>
  <si>
    <t>ИДО20244</t>
  </si>
  <si>
    <t>ИДО20231</t>
  </si>
  <si>
    <t>ИДО20232</t>
  </si>
  <si>
    <t>ИДО20233</t>
  </si>
  <si>
    <t>ИДО20234</t>
  </si>
  <si>
    <t>ИДО2023</t>
  </si>
  <si>
    <t>Доход кафедры от ИДО</t>
  </si>
  <si>
    <t>Доход кафедры от ИДО 2024 год</t>
  </si>
  <si>
    <t>Доход кафедры от ИДО 2023 год</t>
  </si>
  <si>
    <r>
      <t>Фактическое выполнение за год</t>
    </r>
    <r>
      <rPr>
        <b/>
        <sz val="11"/>
        <color rgb="FF0000FF"/>
        <rFont val="Tahoma"/>
        <family val="2"/>
        <charset val="204"/>
      </rPr>
      <t xml:space="preserve"> по нарастающей до текущего квартала</t>
    </r>
  </si>
  <si>
    <t xml:space="preserve">% выполнения плана </t>
  </si>
  <si>
    <r>
      <t xml:space="preserve">Фактическое выполнение </t>
    </r>
    <r>
      <rPr>
        <sz val="11"/>
        <color rgb="FF0000FF"/>
        <rFont val="Tahoma"/>
        <family val="2"/>
        <charset val="204"/>
      </rPr>
      <t xml:space="preserve">за год </t>
    </r>
    <r>
      <rPr>
        <b/>
        <sz val="11"/>
        <color rgb="FF0000FF"/>
        <rFont val="Tahoma"/>
        <family val="2"/>
        <charset val="204"/>
      </rPr>
      <t>по нарастающей до текущего квартала</t>
    </r>
  </si>
  <si>
    <r>
      <rPr>
        <b/>
        <sz val="16"/>
        <color rgb="FF0000FF"/>
        <rFont val="Tahoma"/>
        <family val="2"/>
        <charset val="204"/>
      </rPr>
      <t>Доход</t>
    </r>
    <r>
      <rPr>
        <sz val="12"/>
        <color theme="1"/>
        <rFont val="Tahoma"/>
        <family val="2"/>
        <charset val="204"/>
      </rPr>
      <t xml:space="preserve"> кафедры от </t>
    </r>
    <r>
      <rPr>
        <b/>
        <sz val="16"/>
        <color rgb="FFFF0000"/>
        <rFont val="Tahoma"/>
        <family val="2"/>
        <charset val="204"/>
      </rPr>
      <t>ДПО</t>
    </r>
    <r>
      <rPr>
        <sz val="16"/>
        <color theme="1"/>
        <rFont val="Tahoma"/>
        <family val="2"/>
        <charset val="204"/>
      </rPr>
      <t xml:space="preserve"> </t>
    </r>
    <r>
      <rPr>
        <b/>
        <sz val="16"/>
        <color rgb="FF0000FF"/>
        <rFont val="Tahoma"/>
        <family val="2"/>
        <charset val="204"/>
      </rPr>
      <t>2024</t>
    </r>
    <r>
      <rPr>
        <b/>
        <sz val="12"/>
        <color rgb="FF0000FF"/>
        <rFont val="Tahoma"/>
        <family val="2"/>
        <charset val="204"/>
      </rPr>
      <t xml:space="preserve"> </t>
    </r>
    <r>
      <rPr>
        <sz val="12"/>
        <color theme="1"/>
        <rFont val="Tahoma"/>
        <family val="2"/>
        <charset val="204"/>
      </rPr>
      <t>год</t>
    </r>
  </si>
  <si>
    <r>
      <rPr>
        <b/>
        <sz val="16"/>
        <color rgb="FF0000FF"/>
        <rFont val="Tahoma"/>
        <family val="2"/>
        <charset val="204"/>
      </rPr>
      <t>Доход</t>
    </r>
    <r>
      <rPr>
        <sz val="12"/>
        <color theme="1"/>
        <rFont val="Tahoma"/>
        <family val="2"/>
        <charset val="204"/>
      </rPr>
      <t xml:space="preserve"> кафедры от </t>
    </r>
    <r>
      <rPr>
        <b/>
        <sz val="16"/>
        <color rgb="FFFF0000"/>
        <rFont val="Tahoma"/>
        <family val="2"/>
        <charset val="204"/>
      </rPr>
      <t>ДПО</t>
    </r>
    <r>
      <rPr>
        <sz val="16"/>
        <color theme="1"/>
        <rFont val="Tahoma"/>
        <family val="2"/>
        <charset val="204"/>
      </rPr>
      <t xml:space="preserve"> </t>
    </r>
    <r>
      <rPr>
        <sz val="16"/>
        <color rgb="FF0000FF"/>
        <rFont val="Tahoma"/>
        <family val="2"/>
        <charset val="204"/>
      </rPr>
      <t>2023</t>
    </r>
    <r>
      <rPr>
        <sz val="12"/>
        <color theme="1"/>
        <rFont val="Tahoma"/>
        <family val="2"/>
        <charset val="204"/>
      </rPr>
      <t xml:space="preserve"> год</t>
    </r>
  </si>
  <si>
    <t>ДПО2024</t>
  </si>
  <si>
    <t>ДПО2023</t>
  </si>
  <si>
    <t>ДПО20241</t>
  </si>
  <si>
    <t>ДПО20242</t>
  </si>
  <si>
    <t>ДПО20243</t>
  </si>
  <si>
    <t>ДПО20244</t>
  </si>
  <si>
    <t>Показатель не выполнен</t>
  </si>
  <si>
    <t>Балл берется в процентном соотношении</t>
  </si>
  <si>
    <r>
      <t xml:space="preserve">Дополнительное профессиональное образование </t>
    </r>
    <r>
      <rPr>
        <b/>
        <sz val="16"/>
        <color rgb="FF0000FF"/>
        <rFont val="Tahoma"/>
        <family val="2"/>
        <charset val="204"/>
      </rPr>
      <t>(Бюджет)</t>
    </r>
  </si>
  <si>
    <r>
      <t xml:space="preserve">Процент остепенённости ППС кафедры по основным работникам </t>
    </r>
    <r>
      <rPr>
        <b/>
        <sz val="12"/>
        <color theme="1"/>
        <rFont val="Verdana"/>
        <family val="2"/>
        <charset val="204"/>
      </rPr>
      <t xml:space="preserve">(по приведенным к целочисленным значениям ставок) </t>
    </r>
  </si>
  <si>
    <r>
      <t>Доля внутреннего совместительства по кафедре</t>
    </r>
    <r>
      <rPr>
        <b/>
        <sz val="12"/>
        <color theme="1"/>
        <rFont val="Verdana"/>
        <family val="2"/>
        <charset val="204"/>
      </rPr>
      <t xml:space="preserve"> (в среднем по ставкам)</t>
    </r>
  </si>
  <si>
    <r>
      <t xml:space="preserve">Доля основных (штатных) ППС (включая внутренних совместителей) по кафедре </t>
    </r>
    <r>
      <rPr>
        <b/>
        <sz val="12"/>
        <color theme="1"/>
        <rFont val="Verdana"/>
        <family val="2"/>
        <charset val="204"/>
      </rPr>
      <t>(по ставкам)</t>
    </r>
  </si>
  <si>
    <r>
      <t xml:space="preserve">Процент остепененности внешних совместителей ППС кафедры </t>
    </r>
    <r>
      <rPr>
        <b/>
        <sz val="12"/>
        <color theme="1"/>
        <rFont val="Verdana"/>
        <family val="2"/>
        <charset val="204"/>
      </rPr>
      <t>(в среднем по ставкам)</t>
    </r>
  </si>
  <si>
    <r>
      <t xml:space="preserve">Число </t>
    </r>
    <r>
      <rPr>
        <b/>
        <sz val="12"/>
        <color theme="1"/>
        <rFont val="Verdana"/>
        <family val="2"/>
        <charset val="204"/>
      </rPr>
      <t>ординаторов выпускников кафедры</t>
    </r>
    <r>
      <rPr>
        <sz val="12"/>
        <color theme="1"/>
        <rFont val="Verdana"/>
        <family val="2"/>
        <charset val="204"/>
      </rPr>
      <t>, не сдавших (не прошедших) первичную специализированную аккредитацию, из числа заявленных.</t>
    </r>
    <r>
      <rPr>
        <b/>
        <sz val="12"/>
        <color rgb="FFFF0000"/>
        <rFont val="Verdana"/>
        <family val="2"/>
        <charset val="204"/>
      </rPr>
      <t>(3 квартал)</t>
    </r>
  </si>
  <si>
    <r>
      <t xml:space="preserve">Число </t>
    </r>
    <r>
      <rPr>
        <b/>
        <sz val="12"/>
        <color theme="1"/>
        <rFont val="Verdana"/>
        <family val="2"/>
        <charset val="204"/>
      </rPr>
      <t>обучающихся, заявленных и не прошедших</t>
    </r>
    <r>
      <rPr>
        <sz val="12"/>
        <color theme="1"/>
        <rFont val="Verdana"/>
        <family val="2"/>
        <charset val="204"/>
      </rPr>
      <t xml:space="preserve"> аккредитацию специалиста из числа слушателей по </t>
    </r>
    <r>
      <rPr>
        <b/>
        <sz val="12"/>
        <color theme="1"/>
        <rFont val="Verdana"/>
        <family val="2"/>
        <charset val="204"/>
      </rPr>
      <t>дополнительным профессиональным программам</t>
    </r>
    <r>
      <rPr>
        <sz val="12"/>
        <color theme="1"/>
        <rFont val="Verdana"/>
        <family val="2"/>
        <charset val="204"/>
      </rPr>
      <t xml:space="preserve">. </t>
    </r>
    <r>
      <rPr>
        <b/>
        <sz val="12"/>
        <color rgb="FFFF0000"/>
        <rFont val="Verdana"/>
        <family val="2"/>
        <charset val="204"/>
      </rPr>
      <t>(1, 3 квартал)</t>
    </r>
  </si>
  <si>
    <t>Выполнение кафедрами плана внутривузовских учебно-методических мероприятий (круглых столов, семинаров, конференций), образовательных мероприятий по непрерывному медицинскому и фармацевтическому образованию (НМО и ФО), международных мероприятий на базе АГМУ.</t>
  </si>
  <si>
    <t>Выполнение кафедрами плана проведения международных, всероссийских, региональных, внутривузовских олимпиад для студентов (конференций и пр.).</t>
  </si>
  <si>
    <r>
      <t xml:space="preserve">Фактическое количество подготовленных </t>
    </r>
    <r>
      <rPr>
        <b/>
        <sz val="11"/>
        <color rgb="FF0000FF"/>
        <rFont val="Verdana"/>
        <family val="2"/>
        <charset val="204"/>
      </rPr>
      <t>учебных, учебно-методических изданий</t>
    </r>
    <r>
      <rPr>
        <sz val="11"/>
        <color theme="1"/>
        <rFont val="Verdana"/>
        <family val="2"/>
        <charset val="204"/>
      </rPr>
      <t xml:space="preserve"> по программам специалитета</t>
    </r>
  </si>
  <si>
    <r>
      <t xml:space="preserve">Плановое количество </t>
    </r>
    <r>
      <rPr>
        <b/>
        <sz val="11"/>
        <color rgb="FF0000FF"/>
        <rFont val="Verdana"/>
        <family val="2"/>
        <charset val="204"/>
      </rPr>
      <t>учебных, учебно-методических  изданий</t>
    </r>
    <r>
      <rPr>
        <sz val="11"/>
        <color theme="1"/>
        <rFont val="Verdana"/>
        <family val="2"/>
        <charset val="204"/>
      </rPr>
      <t xml:space="preserve"> по программам специалитета</t>
    </r>
  </si>
  <si>
    <r>
      <t xml:space="preserve">Фактическое количество подготовленных </t>
    </r>
    <r>
      <rPr>
        <b/>
        <sz val="11"/>
        <color rgb="FF0000FF"/>
        <rFont val="Verdana"/>
        <family val="2"/>
        <charset val="204"/>
      </rPr>
      <t>учебных изданий</t>
    </r>
    <r>
      <rPr>
        <sz val="11"/>
        <color theme="1"/>
        <rFont val="Verdana"/>
        <family val="2"/>
        <charset val="204"/>
      </rPr>
      <t xml:space="preserve"> по ординатуре</t>
    </r>
  </si>
  <si>
    <r>
      <t xml:space="preserve">Плановое количество </t>
    </r>
    <r>
      <rPr>
        <b/>
        <sz val="11"/>
        <color rgb="FF0000FF"/>
        <rFont val="Verdana"/>
        <family val="2"/>
        <charset val="204"/>
      </rPr>
      <t>учебных изданий</t>
    </r>
    <r>
      <rPr>
        <sz val="11"/>
        <color theme="1"/>
        <rFont val="Verdana"/>
        <family val="2"/>
        <charset val="204"/>
      </rPr>
      <t xml:space="preserve"> по ординатуре</t>
    </r>
  </si>
  <si>
    <r>
      <t xml:space="preserve">Фактическое количество подготовленных </t>
    </r>
    <r>
      <rPr>
        <b/>
        <sz val="11"/>
        <color rgb="FF0000FF"/>
        <rFont val="Verdana"/>
        <family val="2"/>
        <charset val="204"/>
      </rPr>
      <t>видеолекций</t>
    </r>
    <r>
      <rPr>
        <sz val="11"/>
        <color theme="1"/>
        <rFont val="Verdana"/>
        <family val="2"/>
        <charset val="204"/>
      </rPr>
      <t xml:space="preserve"> по дисциплинам специалитета</t>
    </r>
  </si>
  <si>
    <r>
      <t xml:space="preserve">Плановое количество </t>
    </r>
    <r>
      <rPr>
        <b/>
        <sz val="11"/>
        <color rgb="FF0000FF"/>
        <rFont val="Verdana"/>
        <family val="2"/>
        <charset val="204"/>
      </rPr>
      <t>видеолекций</t>
    </r>
    <r>
      <rPr>
        <sz val="11"/>
        <color theme="1"/>
        <rFont val="Verdana"/>
        <family val="2"/>
        <charset val="204"/>
      </rPr>
      <t xml:space="preserve"> по дисциплинам специалитета</t>
    </r>
  </si>
  <si>
    <r>
      <t xml:space="preserve">Выполнение плана </t>
    </r>
    <r>
      <rPr>
        <b/>
        <sz val="12"/>
        <color rgb="FF0000FF"/>
        <rFont val="Verdana"/>
        <family val="2"/>
        <charset val="204"/>
      </rPr>
      <t>учебных, учебно-методических зданий</t>
    </r>
    <r>
      <rPr>
        <sz val="12"/>
        <color theme="1"/>
        <rFont val="Verdana"/>
        <family val="2"/>
        <charset val="204"/>
      </rPr>
      <t xml:space="preserve"> кафедры по дисциплинам</t>
    </r>
    <r>
      <rPr>
        <b/>
        <sz val="12"/>
        <color theme="1"/>
        <rFont val="Verdana"/>
        <family val="2"/>
        <charset val="204"/>
      </rPr>
      <t xml:space="preserve"> СПЕЦИАЛИТЕТА</t>
    </r>
  </si>
  <si>
    <r>
      <t xml:space="preserve">Выполнение плана подготовки кафедрами </t>
    </r>
    <r>
      <rPr>
        <b/>
        <sz val="12"/>
        <color rgb="FF0000FF"/>
        <rFont val="Verdana"/>
        <family val="2"/>
        <charset val="204"/>
      </rPr>
      <t>видеолекций,</t>
    </r>
    <r>
      <rPr>
        <sz val="12"/>
        <color theme="1"/>
        <rFont val="Verdana"/>
        <family val="2"/>
        <charset val="204"/>
      </rPr>
      <t xml:space="preserve"> </t>
    </r>
    <r>
      <rPr>
        <b/>
        <sz val="12"/>
        <color rgb="FF0000FF"/>
        <rFont val="Verdana"/>
        <family val="2"/>
        <charset val="204"/>
      </rPr>
      <t>вебинаров</t>
    </r>
    <r>
      <rPr>
        <sz val="12"/>
        <color theme="1"/>
        <rFont val="Verdana"/>
        <family val="2"/>
        <charset val="204"/>
      </rPr>
      <t xml:space="preserve"> и пр. для обучающихся по дисциплинам </t>
    </r>
    <r>
      <rPr>
        <b/>
        <sz val="12"/>
        <color theme="1"/>
        <rFont val="Verdana"/>
        <family val="2"/>
        <charset val="204"/>
      </rPr>
      <t xml:space="preserve">СПЕЦИАЛИТЕТА, </t>
    </r>
    <r>
      <rPr>
        <sz val="12"/>
        <color theme="1"/>
        <rFont val="Verdana"/>
        <family val="2"/>
        <charset val="204"/>
      </rPr>
      <t>в том числе на иностранном языке</t>
    </r>
  </si>
  <si>
    <r>
      <t xml:space="preserve">Проведение профориентационной работы кафедрами для поступления в целевую ординатуру Министерства здравоохранения Алтайского края (оцениваются кафедры, реализующие программы ординатуры) </t>
    </r>
    <r>
      <rPr>
        <b/>
        <sz val="12"/>
        <color rgb="FFFF0000"/>
        <rFont val="Verdana"/>
        <family val="2"/>
        <charset val="204"/>
      </rPr>
      <t>(3 квартал)</t>
    </r>
  </si>
  <si>
    <r>
      <t xml:space="preserve">Дополнительное профессиональное образование </t>
    </r>
    <r>
      <rPr>
        <b/>
        <sz val="14"/>
        <color rgb="FF0000FF"/>
        <rFont val="Tahoma"/>
        <family val="2"/>
        <charset val="204"/>
      </rPr>
      <t>(Бюджет)</t>
    </r>
  </si>
  <si>
    <r>
      <t xml:space="preserve">↓↓ Выполнение плана доходов по приносящей доход деятельности от образовательной деятельности по программам </t>
    </r>
    <r>
      <rPr>
        <b/>
        <u/>
        <sz val="12"/>
        <color rgb="FFFF0000"/>
        <rFont val="Verdana"/>
        <family val="2"/>
        <charset val="204"/>
      </rPr>
      <t xml:space="preserve">ДПО </t>
    </r>
    <r>
      <rPr>
        <b/>
        <u/>
        <sz val="12"/>
        <color theme="10"/>
        <rFont val="Verdana"/>
        <family val="2"/>
        <charset val="204"/>
      </rPr>
      <t>кафедры (оценивается в суммарном показателе)</t>
    </r>
  </si>
  <si>
    <r>
      <t xml:space="preserve">Фактическая сумма дохода кафедр по </t>
    </r>
    <r>
      <rPr>
        <b/>
        <sz val="12"/>
        <color rgb="FFFF0000"/>
        <rFont val="Verdana"/>
        <family val="2"/>
        <charset val="204"/>
      </rPr>
      <t>ДПО</t>
    </r>
    <r>
      <rPr>
        <b/>
        <sz val="12"/>
        <rFont val="Verdana"/>
        <family val="2"/>
        <charset val="204"/>
      </rPr>
      <t xml:space="preserve"> и </t>
    </r>
    <r>
      <rPr>
        <b/>
        <sz val="12"/>
        <color rgb="FF7030A0"/>
        <rFont val="Verdana"/>
        <family val="2"/>
        <charset val="204"/>
      </rPr>
      <t>ИДО</t>
    </r>
    <r>
      <rPr>
        <b/>
        <sz val="12"/>
        <color theme="1"/>
        <rFont val="Verdana"/>
        <family val="2"/>
        <charset val="204"/>
      </rPr>
      <t xml:space="preserve"> </t>
    </r>
    <r>
      <rPr>
        <sz val="12"/>
        <color theme="1"/>
        <rFont val="Verdana"/>
        <family val="2"/>
        <charset val="204"/>
      </rPr>
      <t>за отчетный период</t>
    </r>
    <r>
      <rPr>
        <sz val="12"/>
        <color rgb="FF0000FF"/>
        <rFont val="Verdana"/>
        <family val="2"/>
        <charset val="204"/>
      </rPr>
      <t xml:space="preserve"> (суммарно с начала года по отчетную дату)</t>
    </r>
  </si>
  <si>
    <r>
      <t xml:space="preserve">Прирост дохода кафедры по внебюджетным средствам в сравнении с аналогичным периодом прошлого года </t>
    </r>
    <r>
      <rPr>
        <b/>
        <sz val="12"/>
        <color rgb="FFFF0000"/>
        <rFont val="Verdana"/>
        <family val="2"/>
        <charset val="204"/>
      </rPr>
      <t>(НЕ ОЦЕНИВАЕТСЯ)</t>
    </r>
  </si>
  <si>
    <r>
      <t xml:space="preserve">Превышение плана  </t>
    </r>
    <r>
      <rPr>
        <b/>
        <sz val="12"/>
        <color rgb="FFFF0000"/>
        <rFont val="Verdana"/>
        <family val="2"/>
        <charset val="204"/>
      </rPr>
      <t>(НЕ ОЦЕНИВАЕТСЯ)</t>
    </r>
  </si>
  <si>
    <t>Участие ППС кафедры в профориентационной работе вуза по привлечению абитуриентов, в том числе из медицинских колледжей</t>
  </si>
  <si>
    <t>Количество проведённых культурно - развлекательных (воспитательных) мероприятий вуза, направленных на формирование здорового образа жизни у обучающихся</t>
  </si>
  <si>
    <t>Фактическая сумма дохода за отчетный период 2024 года (нарастающим итогом)</t>
  </si>
  <si>
    <t>Плановая сумма дохода в отчетный период 2024 г. (нарастающим итогом)</t>
  </si>
  <si>
    <r>
      <t xml:space="preserve">Фактическая сумма дохода кафедр по </t>
    </r>
    <r>
      <rPr>
        <b/>
        <sz val="12"/>
        <color rgb="FFFF0000"/>
        <rFont val="Verdana"/>
        <family val="2"/>
        <charset val="204"/>
      </rPr>
      <t>ДПО</t>
    </r>
    <r>
      <rPr>
        <sz val="12"/>
        <color theme="1"/>
        <rFont val="Verdana"/>
        <family val="2"/>
        <charset val="204"/>
      </rPr>
      <t xml:space="preserve"> за отчетный период </t>
    </r>
    <r>
      <rPr>
        <b/>
        <sz val="12"/>
        <color rgb="FFFF0000"/>
        <rFont val="Verdana"/>
        <family val="2"/>
        <charset val="204"/>
      </rPr>
      <t>2024</t>
    </r>
    <r>
      <rPr>
        <sz val="12"/>
        <color theme="1"/>
        <rFont val="Verdana"/>
        <family val="2"/>
        <charset val="204"/>
      </rPr>
      <t xml:space="preserve"> г. (нарастающим итогом)</t>
    </r>
  </si>
  <si>
    <r>
      <t xml:space="preserve">Фактическая сумма дохода кафедр по </t>
    </r>
    <r>
      <rPr>
        <b/>
        <sz val="12"/>
        <color rgb="FF7030A0"/>
        <rFont val="Verdana"/>
        <family val="2"/>
        <charset val="204"/>
      </rPr>
      <t>ИДО</t>
    </r>
    <r>
      <rPr>
        <sz val="12"/>
        <color theme="1"/>
        <rFont val="Verdana"/>
        <family val="2"/>
        <charset val="204"/>
      </rPr>
      <t xml:space="preserve"> за отчетный период </t>
    </r>
    <r>
      <rPr>
        <b/>
        <sz val="12"/>
        <color rgb="FFFF0000"/>
        <rFont val="Verdana"/>
        <family val="2"/>
        <charset val="204"/>
      </rPr>
      <t>2024</t>
    </r>
    <r>
      <rPr>
        <sz val="12"/>
        <color theme="1"/>
        <rFont val="Verdana"/>
        <family val="2"/>
        <charset val="204"/>
      </rPr>
      <t xml:space="preserve"> г. (нарастающим итогом)</t>
    </r>
  </si>
  <si>
    <r>
      <t xml:space="preserve">% </t>
    </r>
    <r>
      <rPr>
        <b/>
        <sz val="12"/>
        <color theme="1"/>
        <rFont val="Verdana"/>
        <family val="2"/>
        <charset val="204"/>
      </rPr>
      <t>прироста</t>
    </r>
    <r>
      <rPr>
        <sz val="12"/>
        <color theme="1"/>
        <rFont val="Verdana"/>
        <family val="2"/>
        <charset val="204"/>
      </rPr>
      <t xml:space="preserve"> по отношению к аналогичному периоду 2023 года (ДПО) </t>
    </r>
    <r>
      <rPr>
        <sz val="12"/>
        <color rgb="FF0000FF"/>
        <rFont val="Verdana"/>
        <family val="2"/>
        <charset val="204"/>
      </rPr>
      <t>суммарно с начала года</t>
    </r>
  </si>
  <si>
    <r>
      <t xml:space="preserve">% выполнения по отношению к аналогичному периоду 2023 года (в персчете) ДПО </t>
    </r>
    <r>
      <rPr>
        <sz val="12"/>
        <color rgb="FF0000FF"/>
        <rFont val="Verdana"/>
        <family val="2"/>
        <charset val="204"/>
      </rPr>
      <t>суммарно с начала года</t>
    </r>
  </si>
  <si>
    <t>Фактическая сумма  дохода за отчетный период 2024 года (нарастающим итогом)</t>
  </si>
  <si>
    <t>Плановая сумма дохода в отчетный период 2024 г. (в рублях)</t>
  </si>
  <si>
    <t>Фактическая сумма  дохода за отчетный период 2024 года (в рублях)</t>
  </si>
  <si>
    <r>
      <t xml:space="preserve">Фактическая сумма дохода кафедр по </t>
    </r>
    <r>
      <rPr>
        <b/>
        <sz val="11"/>
        <color rgb="FFFF0000"/>
        <rFont val="Verdana"/>
        <family val="2"/>
        <charset val="204"/>
      </rPr>
      <t>ДПО</t>
    </r>
    <r>
      <rPr>
        <sz val="11"/>
        <color theme="1"/>
        <rFont val="Verdana"/>
        <family val="2"/>
        <charset val="204"/>
      </rPr>
      <t xml:space="preserve"> за отчетный период </t>
    </r>
    <r>
      <rPr>
        <b/>
        <sz val="11"/>
        <color rgb="FFFF0000"/>
        <rFont val="Verdana"/>
        <family val="2"/>
        <charset val="204"/>
      </rPr>
      <t>2024</t>
    </r>
    <r>
      <rPr>
        <sz val="11"/>
        <color theme="1"/>
        <rFont val="Verdana"/>
        <family val="2"/>
        <charset val="204"/>
      </rPr>
      <t xml:space="preserve"> г. (в руб.)</t>
    </r>
  </si>
  <si>
    <r>
      <t xml:space="preserve">Фактическая сумма дохода кафедр по </t>
    </r>
    <r>
      <rPr>
        <b/>
        <sz val="11"/>
        <color rgb="FF7030A0"/>
        <rFont val="Verdana"/>
        <family val="2"/>
        <charset val="204"/>
      </rPr>
      <t>ИДО</t>
    </r>
    <r>
      <rPr>
        <sz val="11"/>
        <color theme="1"/>
        <rFont val="Verdana"/>
        <family val="2"/>
        <charset val="204"/>
      </rPr>
      <t xml:space="preserve"> за отчетный период </t>
    </r>
    <r>
      <rPr>
        <b/>
        <sz val="11"/>
        <color rgb="FFFF0000"/>
        <rFont val="Verdana"/>
        <family val="2"/>
        <charset val="204"/>
      </rPr>
      <t>2024</t>
    </r>
    <r>
      <rPr>
        <sz val="11"/>
        <color theme="1"/>
        <rFont val="Verdana"/>
        <family val="2"/>
        <charset val="204"/>
      </rPr>
      <t xml:space="preserve"> г. (в руб.)</t>
    </r>
  </si>
  <si>
    <r>
      <t xml:space="preserve">% </t>
    </r>
    <r>
      <rPr>
        <b/>
        <sz val="12"/>
        <color theme="1"/>
        <rFont val="Tahoma"/>
        <family val="2"/>
        <charset val="204"/>
      </rPr>
      <t>прироста</t>
    </r>
    <r>
      <rPr>
        <sz val="12"/>
        <color theme="1"/>
        <rFont val="Tahoma"/>
        <family val="2"/>
        <charset val="204"/>
      </rPr>
      <t xml:space="preserve"> по отношению к аналогичному периоду 2023 года (ДПО) </t>
    </r>
    <r>
      <rPr>
        <sz val="12"/>
        <color rgb="FF0000FF"/>
        <rFont val="Tahoma"/>
        <family val="2"/>
        <charset val="204"/>
      </rPr>
      <t>суммарно с начала года</t>
    </r>
  </si>
  <si>
    <r>
      <t xml:space="preserve">% выполнения по отношению к аналогичному периоду 2023 года (в персчете) ДПО </t>
    </r>
    <r>
      <rPr>
        <sz val="12"/>
        <color rgb="FF0000FF"/>
        <rFont val="Tahoma"/>
        <family val="2"/>
        <charset val="204"/>
      </rPr>
      <t>суммарно с начала года</t>
    </r>
  </si>
  <si>
    <r>
      <t xml:space="preserve">Важно: </t>
    </r>
    <r>
      <rPr>
        <b/>
        <sz val="20"/>
        <color rgb="FF0000FF"/>
        <rFont val="Tahoma"/>
        <family val="2"/>
        <charset val="204"/>
      </rPr>
      <t>все данные вносить только в поля</t>
    </r>
    <r>
      <rPr>
        <b/>
        <sz val="20"/>
        <color rgb="FFFF0000"/>
        <rFont val="Tahoma"/>
        <family val="2"/>
        <charset val="204"/>
      </rPr>
      <t xml:space="preserve"> </t>
    </r>
    <r>
      <rPr>
        <b/>
        <sz val="20"/>
        <color theme="6" tint="-0.249977111117893"/>
        <rFont val="Tahoma"/>
        <family val="2"/>
        <charset val="204"/>
      </rPr>
      <t>ЗЕЛЕНОГО</t>
    </r>
    <r>
      <rPr>
        <b/>
        <sz val="20"/>
        <color rgb="FFFF0000"/>
        <rFont val="Tahoma"/>
        <family val="2"/>
        <charset val="204"/>
      </rPr>
      <t xml:space="preserve"> </t>
    </r>
    <r>
      <rPr>
        <b/>
        <sz val="20"/>
        <color rgb="FF0000FF"/>
        <rFont val="Tahoma"/>
        <family val="2"/>
        <charset val="204"/>
      </rPr>
      <t>цвета</t>
    </r>
  </si>
  <si>
    <r>
      <t>Запланировано</t>
    </r>
    <r>
      <rPr>
        <b/>
        <sz val="12"/>
        <color rgb="FF0000FF"/>
        <rFont val="Tahoma"/>
        <family val="2"/>
        <charset val="204"/>
      </rPr>
      <t xml:space="preserve"> на год, на кафедру </t>
    </r>
    <r>
      <rPr>
        <b/>
        <sz val="12"/>
        <color theme="1"/>
        <rFont val="Tahoma"/>
        <family val="2"/>
        <charset val="204"/>
      </rPr>
      <t>с учетом количества НПР кафедры:</t>
    </r>
  </si>
  <si>
    <r>
      <t xml:space="preserve">Запланировано </t>
    </r>
    <r>
      <rPr>
        <b/>
        <sz val="12"/>
        <color rgb="FF0000FF"/>
        <rFont val="Tahoma"/>
        <family val="2"/>
        <charset val="204"/>
      </rPr>
      <t>на год на 10 НПР</t>
    </r>
    <r>
      <rPr>
        <b/>
        <sz val="12"/>
        <color theme="1"/>
        <rFont val="Tahoma"/>
        <family val="2"/>
        <charset val="204"/>
      </rPr>
      <t>:</t>
    </r>
  </si>
  <si>
    <t>РИНЦ</t>
  </si>
  <si>
    <t>В журналах, входящих в РИНЦ</t>
  </si>
  <si>
    <t>Баллы:</t>
  </si>
  <si>
    <t>Балл:</t>
  </si>
  <si>
    <r>
      <t xml:space="preserve">Выполнение плана по численности иностранных граждан, принятых на обучение  на 1 курс.
</t>
    </r>
    <r>
      <rPr>
        <b/>
        <sz val="13"/>
        <color rgb="FFFF0000"/>
        <rFont val="Verdana"/>
        <family val="2"/>
        <charset val="204"/>
      </rPr>
      <t>(4 квартал)</t>
    </r>
  </si>
  <si>
    <r>
      <t xml:space="preserve">Выполнение плана приема студентов по программам специалитета по договорам об оказании платных образовательных услуг
</t>
    </r>
    <r>
      <rPr>
        <b/>
        <sz val="13"/>
        <color rgb="FFFF0000"/>
        <rFont val="Verdana"/>
        <family val="2"/>
        <charset val="204"/>
      </rPr>
      <t>(3 квартал)</t>
    </r>
  </si>
  <si>
    <r>
      <t xml:space="preserve">Выполнение плана приема студентов по программам специалитета в пределах КЦП
</t>
    </r>
    <r>
      <rPr>
        <b/>
        <sz val="13"/>
        <color rgb="FFFF0000"/>
        <rFont val="Verdana"/>
        <family val="2"/>
        <charset val="204"/>
      </rPr>
      <t>(3 квартал)</t>
    </r>
  </si>
  <si>
    <r>
      <t xml:space="preserve">Средний балл ЕГЭ студентов, принятых по результатам ЕГЭ на обучение по очной форме по программам специалитета за счет средств соответствующих бюджетов бюджетной системы РФ и с оплатой стоимости затрат на обучение физическими и юридическими лицами
</t>
    </r>
    <r>
      <rPr>
        <b/>
        <sz val="13"/>
        <color rgb="FFFF0000"/>
        <rFont val="Verdana"/>
        <family val="2"/>
        <charset val="204"/>
      </rPr>
      <t>(3 квартал)</t>
    </r>
  </si>
  <si>
    <t>Численность обучающихся, успешно завершивших обучение по образовательной программе высшего образования;</t>
  </si>
  <si>
    <t>Общая численность обучающихся, поступивших на обучение по образовательной программе высшего образования;</t>
  </si>
  <si>
    <t>Численность обучающихся, ушедших в академический отпуск, обучающихся, переведенных на другую образовательную программу, в период нормативного срока освоения образовательной программы высшего образования;</t>
  </si>
  <si>
    <t>Общая численность обучающихся, вышедших из академического отпуска в период нормативного срока освоения образовательной программы высшего образования.</t>
  </si>
  <si>
    <r>
      <t xml:space="preserve">Среднегодовой процент сохранности контингента обучающихся по программам специалитета </t>
    </r>
    <r>
      <rPr>
        <b/>
        <sz val="13"/>
        <color rgb="FF0000FF"/>
        <rFont val="Verdana"/>
        <family val="2"/>
        <charset val="204"/>
      </rPr>
      <t>(не учитывать принятых по квоте обучающихся иностранных граждан)</t>
    </r>
    <r>
      <rPr>
        <sz val="13"/>
        <color theme="1"/>
        <rFont val="Verdana"/>
        <family val="2"/>
        <charset val="204"/>
      </rPr>
      <t xml:space="preserve">
</t>
    </r>
    <r>
      <rPr>
        <sz val="13"/>
        <color rgb="FFFF0000"/>
        <rFont val="Verdana"/>
        <family val="2"/>
        <charset val="204"/>
      </rPr>
      <t xml:space="preserve"> </t>
    </r>
    <r>
      <rPr>
        <b/>
        <sz val="13"/>
        <color rgb="FFFF0000"/>
        <rFont val="Verdana"/>
        <family val="2"/>
        <charset val="204"/>
      </rPr>
      <t>(3 квартал)</t>
    </r>
  </si>
  <si>
    <r>
      <t xml:space="preserve">Доля обучающихся, успешно завершивших обучение по ОПОП ВО, от численности обучающихся, поступивших на обучение </t>
    </r>
    <r>
      <rPr>
        <b/>
        <sz val="13"/>
        <color rgb="FF0000FF"/>
        <rFont val="Verdana"/>
        <family val="2"/>
        <charset val="204"/>
      </rPr>
      <t>(аккредитационный мониторинг)</t>
    </r>
    <r>
      <rPr>
        <sz val="13"/>
        <color theme="1"/>
        <rFont val="Verdana"/>
        <family val="2"/>
        <charset val="204"/>
      </rPr>
      <t xml:space="preserve">
 </t>
    </r>
    <r>
      <rPr>
        <b/>
        <sz val="13"/>
        <color rgb="FFFF0000"/>
        <rFont val="Verdana"/>
        <family val="2"/>
        <charset val="204"/>
      </rPr>
      <t>(3 квартал)</t>
    </r>
  </si>
  <si>
    <r>
      <t xml:space="preserve">Сохранность контингента по договорам о целевом обучении </t>
    </r>
    <r>
      <rPr>
        <b/>
        <sz val="13"/>
        <color rgb="FF0000FF"/>
        <rFont val="Verdana"/>
        <family val="2"/>
        <charset val="204"/>
      </rPr>
      <t>(специалитет)</t>
    </r>
    <r>
      <rPr>
        <sz val="13"/>
        <color theme="1"/>
        <rFont val="Verdana"/>
        <family val="2"/>
        <charset val="204"/>
      </rPr>
      <t xml:space="preserve">
</t>
    </r>
    <r>
      <rPr>
        <sz val="13"/>
        <color rgb="FFFF0000"/>
        <rFont val="Verdana"/>
        <family val="2"/>
        <charset val="204"/>
      </rPr>
      <t xml:space="preserve"> </t>
    </r>
    <r>
      <rPr>
        <b/>
        <sz val="13"/>
        <color rgb="FFFF0000"/>
        <rFont val="Verdana"/>
        <family val="2"/>
        <charset val="204"/>
      </rPr>
      <t>(3 квартал)</t>
    </r>
  </si>
  <si>
    <r>
      <t xml:space="preserve">Удельный вес выпускников, успешно прошедших первичную аккредитацию </t>
    </r>
    <r>
      <rPr>
        <b/>
        <sz val="13"/>
        <color rgb="FF0000FF"/>
        <rFont val="Verdana"/>
        <family val="2"/>
        <charset val="204"/>
      </rPr>
      <t>(специалитет)</t>
    </r>
    <r>
      <rPr>
        <sz val="13"/>
        <color theme="1"/>
        <rFont val="Verdana"/>
        <family val="2"/>
        <charset val="204"/>
      </rPr>
      <t xml:space="preserve">
</t>
    </r>
    <r>
      <rPr>
        <sz val="13"/>
        <color rgb="FFFF0000"/>
        <rFont val="Verdana"/>
        <family val="2"/>
        <charset val="204"/>
      </rPr>
      <t xml:space="preserve"> </t>
    </r>
    <r>
      <rPr>
        <b/>
        <sz val="13"/>
        <color rgb="FFFF0000"/>
        <rFont val="Verdana"/>
        <family val="2"/>
        <charset val="204"/>
      </rPr>
      <t>(3 квартал)</t>
    </r>
  </si>
  <si>
    <t>Количество фактически трудоустроившихся.</t>
  </si>
  <si>
    <t>Количество выпускников по форме целевой подготовки (за исключени-ем обучающихся в ординатуре и др. согласно законодательству).</t>
  </si>
  <si>
    <t>% трудоустроившихся.</t>
  </si>
  <si>
    <t>Количество выпускников</t>
  </si>
  <si>
    <r>
      <t>Удельный вес выпускников по программам специалитета</t>
    </r>
    <r>
      <rPr>
        <b/>
        <sz val="13"/>
        <color theme="1"/>
        <rFont val="Verdana"/>
        <family val="2"/>
        <charset val="204"/>
      </rPr>
      <t xml:space="preserve"> (целевое обучение, Алтайский край)</t>
    </r>
    <r>
      <rPr>
        <sz val="13"/>
        <color theme="1"/>
        <rFont val="Verdana"/>
        <family val="2"/>
        <charset val="204"/>
      </rPr>
      <t xml:space="preserve">, трудоустроившихся после окончания обучения по полученной специальности </t>
    </r>
    <r>
      <rPr>
        <b/>
        <sz val="13"/>
        <color rgb="FF0000FF"/>
        <rFont val="Verdana"/>
        <family val="2"/>
        <charset val="204"/>
      </rPr>
      <t xml:space="preserve">(исключая поступивших в ординатуру, лиц, призванных на военную службу, находящихся в декретном отпуске или отпуске по уходу за ребенком до 3-х лет). (мониторинг, ВПО-1)
</t>
    </r>
    <r>
      <rPr>
        <b/>
        <sz val="13"/>
        <color rgb="FFFF0000"/>
        <rFont val="Verdana"/>
        <family val="2"/>
        <charset val="204"/>
      </rPr>
      <t xml:space="preserve"> (3 квартал)</t>
    </r>
  </si>
  <si>
    <r>
      <t xml:space="preserve">Удельный вес выпускников </t>
    </r>
    <r>
      <rPr>
        <b/>
        <sz val="13"/>
        <color theme="1"/>
        <rFont val="Verdana"/>
        <family val="2"/>
        <charset val="204"/>
      </rPr>
      <t>(специалитет)</t>
    </r>
    <r>
      <rPr>
        <sz val="13"/>
        <color theme="1"/>
        <rFont val="Verdana"/>
        <family val="2"/>
        <charset val="204"/>
      </rPr>
      <t xml:space="preserve">, трудоустроившихся в Алтайском крае </t>
    </r>
    <r>
      <rPr>
        <b/>
        <sz val="13"/>
        <color rgb="FF0000FF"/>
        <rFont val="Verdana"/>
        <family val="2"/>
        <charset val="204"/>
      </rPr>
      <t>(исключая поступивших в ординатуру, иностранных граждан и лиц, призванных на военную службу, находящихся в декретном отпуске или отпуске по уходу за ребенком до 3-х лет, а также лиц имеющих постоянную реги-страцию за пределами Алтайского края)</t>
    </r>
    <r>
      <rPr>
        <sz val="13"/>
        <color theme="1"/>
        <rFont val="Verdana"/>
        <family val="2"/>
        <charset val="204"/>
      </rPr>
      <t xml:space="preserve">.
</t>
    </r>
    <r>
      <rPr>
        <b/>
        <sz val="13"/>
        <color rgb="FFFF0000"/>
        <rFont val="Verdana"/>
        <family val="2"/>
        <charset val="204"/>
      </rPr>
      <t>(3 квартал)</t>
    </r>
  </si>
  <si>
    <r>
      <t xml:space="preserve">Проведение профориентационной работы кафедрами для поступления в целевую ординатуру Министерства здравоохранения Алтайского края </t>
    </r>
    <r>
      <rPr>
        <b/>
        <sz val="13"/>
        <color rgb="FF0000FF"/>
        <rFont val="Verdana"/>
        <family val="2"/>
        <charset val="204"/>
      </rPr>
      <t>(оцениваются кафедры, реализующие программы ординатуры).</t>
    </r>
    <r>
      <rPr>
        <sz val="13"/>
        <color theme="1"/>
        <rFont val="Verdana"/>
        <family val="2"/>
        <charset val="204"/>
      </rPr>
      <t xml:space="preserve">
</t>
    </r>
    <r>
      <rPr>
        <b/>
        <sz val="13"/>
        <color rgb="FFFF0000"/>
        <rFont val="Verdana"/>
        <family val="2"/>
        <charset val="204"/>
      </rPr>
      <t>(3 квартал)</t>
    </r>
  </si>
  <si>
    <r>
      <t xml:space="preserve">Проведение профориентационной работы кафедрами для поступления в целевую ординатуру Министерства здравоохранения Алтайского края </t>
    </r>
    <r>
      <rPr>
        <b/>
        <sz val="12"/>
        <color rgb="FF0000FF"/>
        <rFont val="Verdana"/>
        <family val="2"/>
        <charset val="204"/>
      </rPr>
      <t>(оцениваются кафедры, реализующие программы ординатуры).</t>
    </r>
    <r>
      <rPr>
        <sz val="12"/>
        <color theme="1"/>
        <rFont val="Verdana"/>
        <family val="2"/>
        <charset val="204"/>
      </rPr>
      <t xml:space="preserve"> </t>
    </r>
    <r>
      <rPr>
        <b/>
        <sz val="12"/>
        <color rgb="FFFF0000"/>
        <rFont val="Verdana"/>
        <family val="2"/>
        <charset val="204"/>
      </rPr>
      <t>(3 квартал)</t>
    </r>
  </si>
  <si>
    <r>
      <t xml:space="preserve">Выполнение плана по общей численности иностранных студентов, обучающихся по программам специалитета 
</t>
    </r>
    <r>
      <rPr>
        <b/>
        <sz val="13"/>
        <color rgb="FFFF0000"/>
        <rFont val="Verdana"/>
        <family val="2"/>
        <charset val="204"/>
      </rPr>
      <t>(4 квартал)</t>
    </r>
  </si>
  <si>
    <r>
      <t xml:space="preserve">Удельный вес выпускников ВО </t>
    </r>
    <r>
      <rPr>
        <b/>
        <sz val="13"/>
        <color theme="1"/>
        <rFont val="Verdana"/>
        <family val="2"/>
        <charset val="204"/>
      </rPr>
      <t>(специалитет)</t>
    </r>
    <r>
      <rPr>
        <sz val="13"/>
        <color theme="1"/>
        <rFont val="Verdana"/>
        <family val="2"/>
        <charset val="204"/>
      </rPr>
      <t xml:space="preserve">, трудоустроившихся в течение 1 года после окончания обучения по полученной специальности </t>
    </r>
    <r>
      <rPr>
        <b/>
        <sz val="13"/>
        <color rgb="FF0000FF"/>
        <rFont val="Verdana"/>
        <family val="2"/>
        <charset val="204"/>
      </rPr>
      <t>(исключая поступивших в ординатуру, иностранных граждан и лиц, призванных на военную службу, находящихся в декретном отпуске или отпуске по уходу за ребенком до 3-х лет).</t>
    </r>
    <r>
      <rPr>
        <sz val="13"/>
        <color theme="1"/>
        <rFont val="Verdana"/>
        <family val="2"/>
        <charset val="204"/>
      </rPr>
      <t xml:space="preserve">
</t>
    </r>
    <r>
      <rPr>
        <b/>
        <sz val="13"/>
        <color rgb="FFFF0000"/>
        <rFont val="Verdana"/>
        <family val="2"/>
        <charset val="204"/>
      </rPr>
      <t>(3 квартал)</t>
    </r>
  </si>
  <si>
    <t xml:space="preserve">Проведение занятий с обучающимися в соответствии с утвержденным расписанием </t>
  </si>
  <si>
    <t>Наличие отклонений от утвержденного расписания</t>
  </si>
  <si>
    <t>Фактический доход института/факультета от НИОКР (в пересчёте на 1 НПР);</t>
  </si>
  <si>
    <t>Плановый доход института/факультета от НИОКР (в пересчёте на 1 НПР);</t>
  </si>
  <si>
    <t>Объем доходов от НИОКР в расчете на 1 НПР (целевой ориентир – 51,5 тыс. руб. на 1 НПР в год; 25,8 тыс. руб. в полугодие, показатель рассчитывается по полугодиям нарастающим итогом).</t>
  </si>
  <si>
    <t xml:space="preserve">Заключенное лицензионное соглашение. </t>
  </si>
  <si>
    <t xml:space="preserve">Количество заключенных лицензионных соглашений. </t>
  </si>
  <si>
    <r>
      <t xml:space="preserve">Доход кафедры от НИОКР </t>
    </r>
    <r>
      <rPr>
        <b/>
        <sz val="11"/>
        <color rgb="FFFF0000"/>
        <rFont val="Tahoma"/>
        <family val="2"/>
        <charset val="204"/>
      </rPr>
      <t>за 1 полугодие</t>
    </r>
  </si>
  <si>
    <t>фактический процент выполнения</t>
  </si>
  <si>
    <r>
      <t xml:space="preserve">Отсутствие финансовой задолженности студентов института/факультета </t>
    </r>
    <r>
      <rPr>
        <b/>
        <sz val="12"/>
        <color rgb="FF0000FF"/>
        <rFont val="Verdana"/>
        <family val="2"/>
        <charset val="204"/>
      </rPr>
      <t xml:space="preserve">за обучение </t>
    </r>
  </si>
  <si>
    <r>
      <t>Отсутствие финансовой задолженности студентов института/факультета</t>
    </r>
    <r>
      <rPr>
        <b/>
        <sz val="12"/>
        <color rgb="FF0000FF"/>
        <rFont val="Verdana"/>
        <family val="2"/>
        <charset val="204"/>
      </rPr>
      <t xml:space="preserve"> за проживание в общежитии</t>
    </r>
  </si>
  <si>
    <r>
      <t xml:space="preserve">Выполнение плана по количеству заключенных соглашений, меморандумов, договоров о научно-образовательном сотрудничестве (в том числе на межфакультетском уровне) с зарубежными организациями 
</t>
    </r>
    <r>
      <rPr>
        <b/>
        <sz val="12"/>
        <color rgb="FFFF0000"/>
        <rFont val="Verdana"/>
        <family val="2"/>
        <charset val="204"/>
      </rPr>
      <t>(4 квартал)</t>
    </r>
  </si>
  <si>
    <r>
      <t xml:space="preserve">Выполнение плана по числу статей, подготовленных совместно с зарубежными организациями 
</t>
    </r>
    <r>
      <rPr>
        <b/>
        <sz val="12"/>
        <color rgb="FFFF0000"/>
        <rFont val="Verdana"/>
        <family val="2"/>
        <charset val="204"/>
      </rPr>
      <t>(4 квартал)</t>
    </r>
  </si>
  <si>
    <r>
      <t xml:space="preserve">Процент остепенённости </t>
    </r>
    <r>
      <rPr>
        <b/>
        <sz val="12"/>
        <color theme="1"/>
        <rFont val="Verdana"/>
        <family val="2"/>
        <charset val="204"/>
      </rPr>
      <t xml:space="preserve">(по приведенным к целочисленным значениям ставок) </t>
    </r>
    <r>
      <rPr>
        <sz val="12"/>
        <color theme="1"/>
        <rFont val="Verdana"/>
        <family val="2"/>
        <charset val="204"/>
      </rPr>
      <t>ППС</t>
    </r>
  </si>
  <si>
    <t>Фактическое исполнение</t>
  </si>
  <si>
    <t>Симуляционный центр</t>
  </si>
  <si>
    <t>план 2024.1</t>
  </si>
  <si>
    <t>план 2024.2</t>
  </si>
  <si>
    <t>план 2024.3</t>
  </si>
  <si>
    <t>план 2024.4</t>
  </si>
  <si>
    <r>
      <rPr>
        <sz val="11"/>
        <color rgb="FFFF0000"/>
        <rFont val="Tahoma"/>
        <family val="2"/>
        <charset val="204"/>
      </rPr>
      <t>Запланированный</t>
    </r>
    <r>
      <rPr>
        <sz val="11"/>
        <color theme="1"/>
        <rFont val="Tahoma"/>
        <family val="2"/>
        <charset val="204"/>
      </rPr>
      <t xml:space="preserve"> Доход кафедры от </t>
    </r>
    <r>
      <rPr>
        <sz val="11"/>
        <color rgb="FFFF0000"/>
        <rFont val="Tahoma"/>
        <family val="2"/>
        <charset val="204"/>
      </rPr>
      <t>ДПО</t>
    </r>
    <r>
      <rPr>
        <sz val="11"/>
        <color theme="1"/>
        <rFont val="Tahoma"/>
        <family val="2"/>
        <charset val="204"/>
      </rPr>
      <t xml:space="preserve"> </t>
    </r>
    <r>
      <rPr>
        <sz val="11"/>
        <color rgb="FF0000FF"/>
        <rFont val="Tahoma"/>
        <family val="2"/>
        <charset val="204"/>
      </rPr>
      <t xml:space="preserve">2024 </t>
    </r>
    <r>
      <rPr>
        <sz val="11"/>
        <color theme="1"/>
        <rFont val="Tahoma"/>
        <family val="2"/>
        <charset val="204"/>
      </rPr>
      <t>год</t>
    </r>
  </si>
  <si>
    <r>
      <rPr>
        <sz val="11"/>
        <color rgb="FFFF0000"/>
        <rFont val="Tahoma"/>
        <family val="2"/>
        <charset val="204"/>
      </rPr>
      <t>Запланированный</t>
    </r>
    <r>
      <rPr>
        <sz val="11"/>
        <color theme="1"/>
        <rFont val="Tahoma"/>
        <family val="2"/>
        <charset val="204"/>
      </rPr>
      <t xml:space="preserve"> Доход кафедры от </t>
    </r>
    <r>
      <rPr>
        <sz val="11"/>
        <color rgb="FFFF0000"/>
        <rFont val="Tahoma"/>
        <family val="2"/>
        <charset val="204"/>
      </rPr>
      <t>ИДО</t>
    </r>
    <r>
      <rPr>
        <sz val="11"/>
        <color theme="1"/>
        <rFont val="Tahoma"/>
        <family val="2"/>
        <charset val="204"/>
      </rPr>
      <t xml:space="preserve"> </t>
    </r>
    <r>
      <rPr>
        <sz val="11"/>
        <color rgb="FF0000FF"/>
        <rFont val="Tahoma"/>
        <family val="2"/>
        <charset val="204"/>
      </rPr>
      <t>2024</t>
    </r>
    <r>
      <rPr>
        <sz val="11"/>
        <color theme="1"/>
        <rFont val="Tahoma"/>
        <family val="2"/>
        <charset val="204"/>
      </rPr>
      <t xml:space="preserve"> год</t>
    </r>
  </si>
  <si>
    <t>Реализация проекта «ВУЗ здорового образа жизни»</t>
  </si>
  <si>
    <t>Фактическое количество публикаций нарастающим итогом</t>
  </si>
  <si>
    <t>Фактическое количество публикаций на 10 НПР кафедры</t>
  </si>
  <si>
    <t>Фактическое количество баллов</t>
  </si>
  <si>
    <t>Целевой ориентир на 10 НПР:</t>
  </si>
  <si>
    <t>Публикационная активность</t>
  </si>
  <si>
    <r>
      <t xml:space="preserve">Удельный вес выпускников, успешно прошедших государственную итоговую аттестацию </t>
    </r>
    <r>
      <rPr>
        <b/>
        <sz val="13"/>
        <color rgb="FF0000FF"/>
        <rFont val="Verdana"/>
        <family val="2"/>
        <charset val="204"/>
      </rPr>
      <t>(специалитет)</t>
    </r>
    <r>
      <rPr>
        <sz val="13"/>
        <color theme="1"/>
        <rFont val="Verdana"/>
        <family val="2"/>
        <charset val="204"/>
      </rPr>
      <t xml:space="preserve">
Мин =100%
</t>
    </r>
    <r>
      <rPr>
        <b/>
        <sz val="13"/>
        <color theme="1"/>
        <rFont val="Verdana"/>
        <family val="2"/>
        <charset val="204"/>
      </rPr>
      <t xml:space="preserve">Справочно: </t>
    </r>
    <r>
      <rPr>
        <sz val="13"/>
        <color theme="1"/>
        <rFont val="Verdana"/>
        <family val="2"/>
        <charset val="204"/>
      </rPr>
      <t xml:space="preserve">у институтов клинической медицины, фармации, стоматологии учитываются студенты, обучающиеся на факультете иностранных студентов
</t>
    </r>
    <r>
      <rPr>
        <sz val="13"/>
        <color rgb="FFFF0000"/>
        <rFont val="Verdana"/>
        <family val="2"/>
        <charset val="204"/>
      </rPr>
      <t xml:space="preserve"> </t>
    </r>
    <r>
      <rPr>
        <b/>
        <sz val="13"/>
        <color rgb="FFFF0000"/>
        <rFont val="Verdana"/>
        <family val="2"/>
        <charset val="204"/>
      </rPr>
      <t>(2 квартал)</t>
    </r>
  </si>
  <si>
    <t>ФИО ППС</t>
  </si>
  <si>
    <t>Ремнева О.В.</t>
  </si>
  <si>
    <t>ИКМ</t>
  </si>
  <si>
    <t>ИП</t>
  </si>
  <si>
    <t>ИС</t>
  </si>
  <si>
    <t>ИОЗиПМ</t>
  </si>
  <si>
    <t>ИСПО</t>
  </si>
  <si>
    <t>ИФ</t>
  </si>
  <si>
    <t>ИКП</t>
  </si>
  <si>
    <t>ИОиДПО</t>
  </si>
  <si>
    <t>Лазарев А.Ф.</t>
  </si>
  <si>
    <t>Цеймах И.Я.</t>
  </si>
  <si>
    <t xml:space="preserve">Ведлер А.А. </t>
  </si>
  <si>
    <t xml:space="preserve">Ковалева Ю.С. </t>
  </si>
  <si>
    <t>Широкоступ С.В</t>
  </si>
  <si>
    <t xml:space="preserve">Аверкина А.А. </t>
  </si>
  <si>
    <t xml:space="preserve">Булдаков П.Н. </t>
  </si>
  <si>
    <t xml:space="preserve">Андреасян А.Р. </t>
  </si>
  <si>
    <t>Оскретков В.И.</t>
  </si>
  <si>
    <t xml:space="preserve">Масликова С.А. </t>
  </si>
  <si>
    <t xml:space="preserve">Багдасарян Г.И. </t>
  </si>
  <si>
    <t xml:space="preserve">Зинченко В.Ю. </t>
  </si>
  <si>
    <t>Чарова Е.В.</t>
  </si>
  <si>
    <t>Попов В.А.</t>
  </si>
  <si>
    <t>Ручейкин Н.Ю.</t>
  </si>
  <si>
    <t>Ганков В.А.</t>
  </si>
  <si>
    <t>Цеймах Е.А.</t>
  </si>
  <si>
    <t>Мальченко Т.Д.</t>
  </si>
  <si>
    <t>Сметанин А.Г.</t>
  </si>
  <si>
    <t>Сметанина Е.А.</t>
  </si>
  <si>
    <t>Богачев Д.Е.</t>
  </si>
  <si>
    <t>Шемякина И.С.</t>
  </si>
  <si>
    <t>Шойхет Я.Н.</t>
  </si>
  <si>
    <t>Капитулин С.Ю.</t>
  </si>
  <si>
    <t>Гурьянов А.А.</t>
  </si>
  <si>
    <t>Батрак Т.А.</t>
  </si>
  <si>
    <t>Радонова А.В.</t>
  </si>
  <si>
    <t>Трешутин В.А.</t>
  </si>
  <si>
    <t>Никоноров М.А.</t>
  </si>
  <si>
    <t>Карбышева Н.В.</t>
  </si>
  <si>
    <t>Макогон С.И.</t>
  </si>
  <si>
    <t>Макогон А.С.</t>
  </si>
  <si>
    <t xml:space="preserve">Иванова Д.И. </t>
  </si>
  <si>
    <t>Лебедев В.И.</t>
  </si>
  <si>
    <t>Орешака О.В.</t>
  </si>
  <si>
    <t>Ганисик А.В.</t>
  </si>
  <si>
    <t>Тупикова Л.Н.</t>
  </si>
  <si>
    <t>Шарахова Е.Ф.</t>
  </si>
  <si>
    <t>Петухова О.В.</t>
  </si>
  <si>
    <t xml:space="preserve">Труевцев Д.В. </t>
  </si>
  <si>
    <t>Осипова И.В.</t>
  </si>
  <si>
    <t>Антропова О.Н.</t>
  </si>
  <si>
    <t>Ельчанинова С.А.</t>
  </si>
  <si>
    <t>Воробьева Е.Н.</t>
  </si>
  <si>
    <t>Пелеганчук В.А.</t>
  </si>
  <si>
    <t>Батрак Ю.М.</t>
  </si>
  <si>
    <t>Васильев А.И.</t>
  </si>
  <si>
    <t>Кузнецов С.Ю.</t>
  </si>
  <si>
    <t>Плотников И.А.</t>
  </si>
  <si>
    <t>Куликов В.П.</t>
  </si>
  <si>
    <t>Шереметьева И.И.</t>
  </si>
  <si>
    <t>Лещенко Л.В.</t>
  </si>
  <si>
    <t>Строганов А.Е</t>
  </si>
  <si>
    <t>Курышкин В.И.</t>
  </si>
  <si>
    <t>Плотников А.В.</t>
  </si>
  <si>
    <t>Токмакова С.И.</t>
  </si>
  <si>
    <t>Титова З.А.</t>
  </si>
  <si>
    <t>Волкова Ю.В.</t>
  </si>
  <si>
    <t>Пляшешников М.А.</t>
  </si>
  <si>
    <t>Лукьяненко Н.В.</t>
  </si>
  <si>
    <t>Крянга А.А.</t>
  </si>
  <si>
    <t>Барбаева С.Н.</t>
  </si>
  <si>
    <t>Бойко Е.А.</t>
  </si>
  <si>
    <t>Корсиков Н.А.</t>
  </si>
  <si>
    <t>Шадымов А.Б.</t>
  </si>
  <si>
    <t>Строзенко Л.А.</t>
  </si>
  <si>
    <t>Фуголь Д.С.</t>
  </si>
  <si>
    <t>Дорохов Н.А.</t>
  </si>
  <si>
    <t>Шишкина О.Е.</t>
  </si>
  <si>
    <t>Гатальская И.Ю.</t>
  </si>
  <si>
    <t>Гончаров А.П.</t>
  </si>
  <si>
    <t>Неймарк М.И.</t>
  </si>
  <si>
    <t>Шмелев В.В.</t>
  </si>
  <si>
    <t>Райкин И.Д.</t>
  </si>
  <si>
    <t>Давыдов В.В.</t>
  </si>
  <si>
    <t>Федоров Д.В.</t>
  </si>
  <si>
    <t>Бишевский К.М.</t>
  </si>
  <si>
    <t>Климова Е.Е.</t>
  </si>
  <si>
    <t>Вострикова Н.В.</t>
  </si>
  <si>
    <t>Лущаев А.Ю.</t>
  </si>
  <si>
    <t>Федорова Н.Н</t>
  </si>
  <si>
    <t>Царигородцева Н.О.</t>
  </si>
  <si>
    <t>Хрусталева Е.В.</t>
  </si>
  <si>
    <t>Шахова Н.В.</t>
  </si>
  <si>
    <t>Неймарк А.И.</t>
  </si>
  <si>
    <t>Неймарк Б.А.</t>
  </si>
  <si>
    <t>Репкина Т.В.</t>
  </si>
  <si>
    <t>Демина Е.И.</t>
  </si>
  <si>
    <t>Молчанова И.В.</t>
  </si>
  <si>
    <t>Яворская С.Д.</t>
  </si>
  <si>
    <t>Николаева М.Г.</t>
  </si>
  <si>
    <t>Лубянский В.Г.</t>
  </si>
  <si>
    <t>Ефремушкина А.А.</t>
  </si>
  <si>
    <t>Лубянская Т.Г.</t>
  </si>
  <si>
    <t>Колмогоров В.Г.</t>
  </si>
  <si>
    <t>Федосеев М.А.</t>
  </si>
  <si>
    <t>Борисенко О.В.</t>
  </si>
  <si>
    <t>Федоров В.В.</t>
  </si>
  <si>
    <t>Федоровский А.Ф.</t>
  </si>
  <si>
    <t>Федоров К.П.</t>
  </si>
  <si>
    <t>Парасотченко Н.Л.</t>
  </si>
  <si>
    <t>Шахматов И.И.</t>
  </si>
  <si>
    <t>Блажко А.А.</t>
  </si>
  <si>
    <t>Лисина С.В.</t>
  </si>
  <si>
    <t>Бондарчук Ю.А.</t>
  </si>
  <si>
    <t>Вдовин В.М.</t>
  </si>
  <si>
    <t>Воронцов П.Г.</t>
  </si>
  <si>
    <t>Жукова О.В.</t>
  </si>
  <si>
    <t>Тимченко Н.С.</t>
  </si>
  <si>
    <t>Госсен И.Е.</t>
  </si>
  <si>
    <t>Жариков А.Ю.</t>
  </si>
  <si>
    <t>Глиос Г.Н.</t>
  </si>
  <si>
    <t>Аюпов Т.М.</t>
  </si>
  <si>
    <t>Рылова Е.В.</t>
  </si>
  <si>
    <t>Хорев Н.Г.</t>
  </si>
  <si>
    <t>Сукманова И.А.</t>
  </si>
  <si>
    <t>Прокопьева В.В.</t>
  </si>
  <si>
    <t>Котовщикова Е.Ф.</t>
  </si>
  <si>
    <t>Цеймах А.Е.</t>
  </si>
  <si>
    <t>Кулешова И.В.</t>
  </si>
  <si>
    <t>Чиликиди К.Ю.</t>
  </si>
  <si>
    <t>Новоселова Е.А.</t>
  </si>
  <si>
    <t>Желкомбаева М.А.</t>
  </si>
  <si>
    <r>
      <t xml:space="preserve">− </t>
    </r>
    <r>
      <rPr>
        <sz val="14"/>
        <color theme="1"/>
        <rFont val="Times New Roman"/>
        <family val="1"/>
        <charset val="204"/>
      </rPr>
      <t>член общественной организации «Медицинская Палата Алтайского края».</t>
    </r>
  </si>
  <si>
    <r>
      <t>− </t>
    </r>
    <r>
      <rPr>
        <sz val="14"/>
        <color theme="1"/>
        <rFont val="Times New Roman"/>
        <family val="1"/>
        <charset val="204"/>
      </rPr>
      <t>член общественной организации «Медицинская Палата Алтайского края».</t>
    </r>
  </si>
  <si>
    <t>− член аттестационной комиссии по хирургии Минздрава Алтайского края;
− председатель Алтайского регионального отделения Российского общества хирургов.</t>
  </si>
  <si>
    <t>− член экспертной группы по хирургии МЗ АК;
− член правления Алтайского регионального отделения МОО «Российское респираторное общество»;
− член Алтайского отделения Российского общества хирургов;
− член Общественной организации «Медицинская палата Алтайского края».</t>
  </si>
  <si>
    <t>− член Алтайского отделения Российского общества хирургов;
− член Общественной организации «Медицинская палата Алтайского края».</t>
  </si>
  <si>
    <t>− член Алтайского отделения Российского общества хирургов.</t>
  </si>
  <si>
    <t>− член Общественной организации «Медицинская палата Алтайского края».</t>
  </si>
  <si>
    <t>− член Алтайского краевого научного общества кардиологов (АКНОК).</t>
  </si>
  <si>
    <t>− член профильной комиссии по урологии при МЗ РФ.</t>
  </si>
  <si>
    <t>− член экспертного совета по лучевой диагностике МЗ АК;
− член Медицинской Палаты.</t>
  </si>
  <si>
    <t>− член Совета молодых врачей Алтайского края при МЗ АК.</t>
  </si>
  <si>
    <t>− член общественного совета КГБУЗ "Консультативно-диагностического центра Алтайского края";
− член Медицинской Палаты.</t>
  </si>
  <si>
    <t>− член Медицинской Палаты.</t>
  </si>
  <si>
    <t>− член Медицинской палаты Алтайского края (при Министерстве здравоохранения Алтайского края).</t>
  </si>
  <si>
    <t>− секретарь Алтайского филиала Всероссийского общества эпидемиологов, бактериологов, паразитологов.</t>
  </si>
  <si>
    <t>− руководитель регионального подразделения Федерального народного совета при Комитете по региональной политике и муниципальному самоуправлению Государственной Думы Российской Федерации в Алтайском крае.</t>
  </si>
  <si>
    <t>− член медицинской палаты Алтайского края;
− член правления регионального отделения МОО "Российское респираторное общество".</t>
  </si>
  <si>
    <t>− член медицинской палаты Алтайского края.</t>
  </si>
  <si>
    <t>− член экспертной группы по "Социально-значимым заболеваниям" аттестационной комиссии Министерства здравоохранения Алтайского края.</t>
  </si>
  <si>
    <t>− член организации "Медицинская Палата Алтайского края".</t>
  </si>
  <si>
    <t>− член организации "Медицинская Палата Алтайского края";
− секретарь аттестационной комиссии по управлению сестринской деятельностью.</t>
  </si>
  <si>
    <t>− член Совета по науке, наукоемким технологиям и инновационному развитию при Алтайском краевом Законодательном Собрании;
− член Научно-экспертного совета по развитию биотехнологий Алтайского края.</t>
  </si>
  <si>
    <t>− заместитель председателя Экспертной группы по управлению сестринской деятельностью.</t>
  </si>
  <si>
    <t>− член группы, занимающейся реагированием и проведением анализа суицидального поведения детей и подростков при Правительстве Алтайского края.</t>
  </si>
  <si>
    <t>− член аттестационной комиссии на категорию по специальностям: "ЛФК и СМ" и "Физиотерапия".</t>
  </si>
  <si>
    <t>− помощник Уполномоченного по правам человека в Алтайском крае;
− член медицинской палаты Алтайского края.</t>
  </si>
  <si>
    <t>− учёный секретарь Алтайского отделения Российского философского общества (Алтайское философское общество).</t>
  </si>
  <si>
    <t>− член Совета отцов при Администрации г. Барнаула;
− член Общественного совета администрации города Барнаула по вопросам межнациональных и межрелигиозных отношений;
− региональный эксперт РФФИ.</t>
  </si>
  <si>
    <t>− специалист Аттестационной комиссии Министерста образования и науки Алтайского края, привлекаемая в качестве эксперта при оценке аттестационных материалов учителей русского языка и литературы;
− научный консультант в региональной инновационной площадке (РИП) для детей-мигрантов (таджиков).</t>
  </si>
  <si>
    <t>− член экспертной группы по травматологии и нейрохирургии аттестационной комиссии Минздрава Алтайского края.</t>
  </si>
  <si>
    <t>− член экспертной группы по кардиологии.</t>
  </si>
  <si>
    <t>Бельницкая О.А.</t>
  </si>
  <si>
    <t>Болгова Т.А.</t>
  </si>
  <si>
    <t>Востриков В.В.</t>
  </si>
  <si>
    <t>Гальченко А.И.</t>
  </si>
  <si>
    <t>Горбачева Т.А.</t>
  </si>
  <si>
    <t>Дударева Ю.А.</t>
  </si>
  <si>
    <t>Дмитриенко К.В.</t>
  </si>
  <si>
    <t>Долгова Н.С.</t>
  </si>
  <si>
    <t>Кравцова Е.С.</t>
  </si>
  <si>
    <t>Кузнецова Т.А.</t>
  </si>
  <si>
    <t>Немцева Г.В.</t>
  </si>
  <si>
    <t>Хорева Л.А.</t>
  </si>
  <si>
    <t>Шадеева Ю.А.</t>
  </si>
  <si>
    <t>Колядо О.В.</t>
  </si>
  <si>
    <t>Максименко Т.А.</t>
  </si>
  <si>
    <t>Бобров И.П.</t>
  </si>
  <si>
    <t>− член Российского общества патофизиологов, член Российского общества физиологов им. И.П. Павлова.</t>
  </si>
  <si>
    <t>Колесникова О.И.</t>
  </si>
  <si>
    <t>Выходцева Г.И.</t>
  </si>
  <si>
    <t>Сероклинов В.Н.</t>
  </si>
  <si>
    <t>Мироненко И.И.</t>
  </si>
  <si>
    <t>Чумакова Г.А.</t>
  </si>
  <si>
    <t>Абиева Н.М.</t>
  </si>
  <si>
    <t>Ганов Д.И.</t>
  </si>
  <si>
    <t>Петрова В.Д.</t>
  </si>
  <si>
    <t>Терехова С.А.</t>
  </si>
  <si>
    <t>− член Ассоциации Онкологов России (АОР);
− член Российского Общества Онкологов Урологов (РООУ); 
− член Ассоциации онкологических организаций Сибири и Дальнего Востока.</t>
  </si>
  <si>
    <t>− член Ассоциации Онкологов России (АОР).</t>
  </si>
  <si>
    <t>− член организации "Медицинская Палата Алтайского края";
− председатель аттестационной комиссии по управлению сестринской деятельностью (Министерство здравоохранения Алтайского края);
− эксперт при краевом бюро судебно-медицинской экспертизы.</t>
  </si>
  <si>
    <t>Ушакова Е.В.</t>
  </si>
  <si>
    <t>Смагина И.В.</t>
  </si>
  <si>
    <t>Пархоменко Е.В.</t>
  </si>
  <si>
    <t>Ельчанинова Е.Ю.</t>
  </si>
  <si>
    <t>Лунев К.В.</t>
  </si>
  <si>
    <t>Серикова И.Ю.</t>
  </si>
  <si>
    <t>Афанасьева А.И.</t>
  </si>
  <si>
    <t>− зам. председателя Экспертной группы по аттестации специалистов с высшим и средним фармацевтическим образованием.</t>
  </si>
  <si>
    <t>Харченко С.С.</t>
  </si>
  <si>
    <t>Лукашина Т.В.</t>
  </si>
  <si>
    <t>− член аттестационной комиссии на категорию по специальностям: "ЛФК и СМ" и "Физиотерапия";
− председатель Алтайского краевого регионального отделения Общероссийской общественной организации содействия развитию медицинской реабилитологии «Союз реабилитологов России».</t>
  </si>
  <si>
    <t xml:space="preserve">− заведующий «Алтайский краевой вертеброневрологический центр». </t>
  </si>
  <si>
    <t>Олейников А.А.</t>
  </si>
  <si>
    <t>− заместитель председателя экспертной группы "акушерство и гинекология" краевой аттестационной комиссии;
− заместитель президента Ассоциации Акушеров и гинекологов Алтайского края;
− член междисциплинарной ассоциации специалистов репродуктивной медицины (МАРС);
− член Медицинской Палаты Алтайского края;
− член краевого отделения Союза женщин России.</t>
  </si>
  <si>
    <t>− член Медицинской Палаты Алтайского края;
− член Ассоциации Акушеров и гинекологов Алтайского края.</t>
  </si>
  <si>
    <t>− член Медицинской Палаты Алтайского края;
− член Ассоциации Акушеров и гинекологов Алтайского края;
− член Совета Российской ассоциации репродукции человека (РАРЧ).</t>
  </si>
  <si>
    <t>− главный внештатный специалист по акушерству Минздрава Алтайского края;
− член экспертной группы "акушерство и гинекология" краевой аттестационной комиссии;
− член Ассоциации Акушеров и гинекологов Алтайского края;
− член Российского общества акушеров-гинекологов;
− член междисциплинарной ассоциации специалистов репродуктивной медицины (МАРС).</t>
  </si>
  <si>
    <t>− член Российского общества по изучению боли (РОИБ);
− член комитета по организации противоболевой службы, комитета по лицевой боли.</t>
  </si>
  <si>
    <t>− член Российского комитета исследователей рассеянного склероза РОКИРС;
− член Межрегиональной общественной организации специалистов ботулинотерапии.</t>
  </si>
  <si>
    <t>− член Российского комитета исследователей рассеянного склероза (РОКИРС);
− член Российского общества сомнологов.</t>
  </si>
  <si>
    <t>− член ассоциации детских неврологов в области миологии «НЕОМИО».</t>
  </si>
  <si>
    <t>− член Президиума Правления Российского Кардиологического общества;
− член Правления Российского общества кардисоматической профилактики и реабилитации;
− Председатель Алтайского краевого общества кардиологов.</t>
  </si>
  <si>
    <t>− член экспертной группы МЗ АК по сердечно-сосудистой и торакальной хирургии;
− член общественной организации «Медицинская Палата Алтайского края».</t>
  </si>
  <si>
    <t>− член экспертной группы МЗ АК по хирургии;
− член общественной организации «Медицинская Палата Алтайского края»;
− член Российского Общества хирургов.</t>
  </si>
  <si>
    <t>− член методической комиссии по физической культуре при Министерстве здравоохранения РФ.</t>
  </si>
  <si>
    <t>− председатель философского общества Алтайского края.</t>
  </si>
  <si>
    <t>− главный внештатный специалист по медицинской реабилитации Министерства здравоохранения Алтайского края;
− ревизор Алтайского краевого регионального отделения Общероссийской общественной организации содействия развитию медицинской реабилитологии «Союз реабилитологов России».</t>
  </si>
  <si>
    <t>− главный внештатный специалист по ЛФК и спортивной медицине Министерства здравоохранения.</t>
  </si>
  <si>
    <t>− депутат АКЗС, комитет по здравоохранению и комитет по образованию и науки;
− депутат МПАК;
− депутат МП при Государственной Думе ФС РФ, заместитель комиссии по труду, социальной политике и здравоохранению;
− Региональный координатор ВОД «Волонтеры-медики» в Алтайском крае;
− Председатель Алтайского регионального отделения ООО «Российский Красный Крест»</t>
  </si>
  <si>
    <t>Ортопедической стоматологии с курсом хирургической стоматологии и челюстно-лицевой хирургии</t>
  </si>
  <si>
    <t xml:space="preserve">Факультетской терапии и гериатрии </t>
  </si>
  <si>
    <t>Военно-полевой хирургии, травматологии и тактической медицины</t>
  </si>
  <si>
    <t>− главный внештатный онкогинеколог Минздрава Алтайского края;
− член Медицинской Палаты Алтайского края.</t>
  </si>
  <si>
    <t>− внештатный эксперт по онкологии Министерства здравоохранения Алтайского края;
− внештатный эксперт по онкологии Территориального органа Росздравнадзора по Алтайскому краю;
− член Ассоциации Онкологов России (АОР);
− член Ассоциации онкологических организаций Сибири и Дальнего Востока.</t>
  </si>
  <si>
    <t>− главный внештатный специалист дерматовенеролог МЗ АК
− член Экспертной группы по социально значимым заболеваниям по аттестации врачебных категорий в МЗ АК;
− председатель Алтайского регионального отделения Российского общества дерматовенерологов и косметологов.</t>
  </si>
  <si>
    <t>Зимина Е.В.</t>
  </si>
  <si>
    <t>− главный внештатный специалист Минздрава АК по медицине катастроф</t>
  </si>
  <si>
    <t>Шевченко В.В.</t>
  </si>
  <si>
    <t>− внештатный специалист гастроэнтеролог;
− член аттестационной комиссии МЗ АК по гастроэнтерологии.</t>
  </si>
  <si>
    <t>− внештатный специалист кардиолог;
− член аттестационной комиссии МЗ АК по кардиологии.</t>
  </si>
  <si>
    <t>− главный внештатный специалист по лучевой и инструментальной диагностике МЗ АК;
− председатель экспертного совета по лучевой диагностике МЗ АК.</t>
  </si>
  <si>
    <t>Завьялов А.Е.</t>
  </si>
  <si>
    <t>− главный внештатный детский анестезиолог-реаниматолог Алтайского края.</t>
  </si>
  <si>
    <t>Метальников А.И.</t>
  </si>
  <si>
    <t>− председатель Общественного совета при МЗ АК;
− член коллегии МЗ АК.</t>
  </si>
  <si>
    <t>− член Экспертной группы Аттестационной комиссии МЗ АК по специальности "Стоматология";
− член Медицинской палаты Алтайского края;
− член региональной стоматологической ассоциации.</t>
  </si>
  <si>
    <t>Швец М.В.</t>
  </si>
  <si>
    <t>Дементьева Е.А.</t>
  </si>
  <si>
    <t>− член Медицинской палаты Алтайского края.</t>
  </si>
  <si>
    <t>Гуревич Ю.Ю.</t>
  </si>
  <si>
    <t>Фефелов А.В</t>
  </si>
  <si>
    <t>Семенникова Н.В.</t>
  </si>
  <si>
    <t>Тейтельбаум Ю.В.</t>
  </si>
  <si>
    <t>− эксперт ФКУ "Главное бюро медико-социальной экспертизы по Алтайскому краю";
− член Медицинской палаты Алтайского края.</t>
  </si>
  <si>
    <t>− член Медицинской палаты Алтайского края;
− член региональной стоматологической ассоциации.</t>
  </si>
  <si>
    <t>Прохорова В.О</t>
  </si>
  <si>
    <t>Зорина Ю.Ю.</t>
  </si>
  <si>
    <t>− член региональной стоматологической ассоциации;
− эксперт ФКУ "Главное бюро медико-социальной экспертизы по Алтайскому краю";
− член Медицинской палаты Алтайского края;
− член Алтайского РОО СТАР.</t>
  </si>
  <si>
    <t>− член аттестационной комиссии МЗ АК по стоматологии;
− президент РОО АСАК;
− член регионального отделения Стоматологической Ассоциации России;
− член Медицинской палаты Алтайского края.</t>
  </si>
  <si>
    <t>Бондаренко О.В.</t>
  </si>
  <si>
    <t>Побединская Л.Ю.</t>
  </si>
  <si>
    <t>Луницына Ю.В.</t>
  </si>
  <si>
    <t>Жукова Е.С.</t>
  </si>
  <si>
    <t>Чудова Л.В.</t>
  </si>
  <si>
    <t>Левченко О.Г.</t>
  </si>
  <si>
    <t>Кириенкова Е.А.</t>
  </si>
  <si>
    <t>Рихтер А.А.</t>
  </si>
  <si>
    <t>Кузикова В.А.</t>
  </si>
  <si>
    <t>− член регионального отделения Стоматологической Ассоциации России;
− член Медицинской палаты Алтайского края.</t>
  </si>
  <si>
    <t xml:space="preserve">Реестр ППС кафедр, состоящих в профессиональных сообществах, комиссиях и других коллегиальных органах, внештатные специалисты Министерства здравоохранения Алтайского края </t>
  </si>
  <si>
    <r>
      <rPr>
        <b/>
        <sz val="14"/>
        <color theme="1"/>
        <rFont val="Times New Roman"/>
        <family val="1"/>
        <charset val="204"/>
      </rPr>
      <t>Наименование</t>
    </r>
    <r>
      <rPr>
        <sz val="14"/>
        <color theme="1"/>
        <rFont val="Times New Roman"/>
        <family val="1"/>
        <charset val="204"/>
      </rPr>
      <t xml:space="preserve"> коллегиальных органов, создаваемых при органах государственной власти: Министерстве здравоохранения Алтайского края, Министерстве образования и науки Алтайского края, Министерстве социальной защиты Алтайского края и др. (экспертные советы, аттестационные комиссии, научно-координационные советы и др.), профессиональных сообществ, законодательных органов г. Барнаула, Алтайского края (профильные комитеты, депутатские и экспертные рабочие группы и др.), в которых состоит ППС, внештатный специалист Министерства здравоохранения Алтайского края.</t>
    </r>
  </si>
  <si>
    <t>− член экспертной группы "акушерство и гинекология" краевой аттестационной комиссии;
− президент Ассоциации Акушеров и гинекологов Алтайского края;
− член Координационного Совета Минздрава Алтайского края;
− консультант-эксперт Общественной палаты Алтайского края по вопросам демографии, защиты семьи, детей, традиционных семейных ценностей в доступной среде;
− член Российского Общества акушеров-гинекологов;
− член Медицинской Палаты Алтайского края;
− член междисциплинарной ассоциации специалистов репродуктивной медицины (МАРС);
− член краевого отделения Союза женщин России.</t>
  </si>
  <si>
    <t>Киушкина И.Н.</t>
  </si>
  <si>
    <t>Матрос О.И.</t>
  </si>
  <si>
    <t>Хорошилова И.А.</t>
  </si>
  <si>
    <t>Арсеньева И.В.</t>
  </si>
  <si>
    <t>Бесхлебова О.В.</t>
  </si>
  <si>
    <t>− член Европейской рабочей группы по болезни Гентингтона ( EHDN);
− член Международного общества по болезни Паркинсона и двигательным расстройствам (MDS) Российской Федерации.</t>
  </si>
  <si>
    <t>Хлопкова Ю.С.</t>
  </si>
  <si>
    <t>− главный внештатный специалист офтальмолог Минздрава Алтайского края;
− член профильной комиссии врачей офтальмологов РФ;
− председатель аттестационной комиссии врачей офтальмологов Алтайского края;
− член медицинской палаты Алтайского края.</t>
  </si>
  <si>
    <t>− секретарь Общественного совета Алтайской краевой офтальмологической больницы;
 − член медицинской палаты Алтайского края.</t>
  </si>
  <si>
    <t>− председатель Ассоциации врачей офтальмологов и оптометристов Алтайского края;
− член аттестационной комиссии врачей офтальмологов Алтайского края.
− член медицинской палаты Алтайского края.</t>
  </si>
  <si>
    <t>− член Экспертного Совета Российского глаукомного общества;
− член президиума Ассоциации врачей офтальмологов и оптометристов Алтайского края;
− член медицинской палаты Алтайского края.</t>
  </si>
  <si>
    <t>Лобанов Ю.Ф.</t>
  </si>
  <si>
    <t>Латышев Д.Ю.</t>
  </si>
  <si>
    <t>Кашинская Т.С.</t>
  </si>
  <si>
    <t>Ример Н.К.</t>
  </si>
  <si>
    <t>Елизарьева Л.А.</t>
  </si>
  <si>
    <t>Михеева Н.М.</t>
  </si>
  <si>
    <t>− член организации "Медицинская Палата Алтайского края";
− федеральный эксперт-педиатр Росздравнадзора.</t>
  </si>
  <si>
    <t>− член организации "Медицинская Палата Алтайского края";
− член экспертной группы по педиатрии при МЗАК.</t>
  </si>
  <si>
    <t>− член организации "Медицинская Палата Алтайского края";
− эксперт бюро судебно-медицинской экспертизы;
− член экспертной группы по педиатрии при МЗАК.</t>
  </si>
  <si>
    <t>Сафьянова Т.В.</t>
  </si>
  <si>
    <t>− член Алтайского филиала всероссийского общества эпидемиологов, бактериологов, паразитологов.</t>
  </si>
  <si>
    <t>− член Алтайского филиала всероссийского общества эпидемиологов, бактериологов, паразитологов;
− член организации "Медицинская Палата Алтайского края".</t>
  </si>
  <si>
    <t>− член Алтайского филиала всероссийского общества эпидемиологов, бактериологов, паразитологов;
− член организации "Медицинская Палата Алтайского края";
− член Некоммерческого партнерства «Национальная ассоциация специалистов по контролю инфекций, связанных с оказанием медицинской помощи» (НП «НАСКИ»).</t>
  </si>
  <si>
    <t>Асманова М.А.</t>
  </si>
  <si>
    <t>Сурсякова К.И.</t>
  </si>
  <si>
    <t>Русских А.А.</t>
  </si>
  <si>
    <t>Сафронова А.Е.</t>
  </si>
  <si>
    <t>− член экспертного совета АКЗС;
− член Исполкома Российской Ассоциации Специалистов Ультразвуковой Диагностики в Медицине (РАСУДМ), Председатель Алтайского отделения; 
− член Правления Российская Ассоциация Специалистов Функциональной Диагностики (РАСФД);
− председатель комитета по здравоохранению Алтайской торгово-промышленной палаты.</t>
  </si>
  <si>
    <t>− член Экспертной группы Аттестационной комиссии МЗ АК по специальности "Стоматология";
− член региональной стоматологической ассоциации;
− член совета Стомсатологического научно-образовательного кластера;
− член регионального правления отделения СТАР.</t>
  </si>
  <si>
    <t>− секретарь правления регионального отделения МОО "Российское респираторное общество";
− член медицинской палаты Алтайского края.</t>
  </si>
  <si>
    <t>Кулешова Е.О.</t>
  </si>
  <si>
    <t>Бородина Г.Н.</t>
  </si>
  <si>
    <t>Тимофеева Е.В.</t>
  </si>
  <si>
    <t>Лопатина С.В.</t>
  </si>
  <si>
    <t>Федина И.Ю.</t>
  </si>
  <si>
    <t>Рехтина Н.М.</t>
  </si>
  <si>
    <t>Требушинина Т.Г.</t>
  </si>
  <si>
    <t>Хаменский С.А.</t>
  </si>
  <si>
    <t>Зарубина С.П.</t>
  </si>
  <si>
    <t>− член Алтайского регионального отделения межрегиональной общественной организации "Научное общество анатомов, гистологов и эмбриологов";</t>
  </si>
  <si>
    <t>− член Научного общества Кардиоваскулярной Реабилитации и Профилактики;
− член Правления Национального общества по изучению атеросклероза;
− член организации " Медицинская палата Алтайского края ";
− член Европейского общества атеросклероза (EAS).</t>
  </si>
  <si>
    <t>Лескова С.С.</t>
  </si>
  <si>
    <t>− эксперт предметной комиссии по физике, привлекаемый к проверке работ участников ЕГЭ и ОГЭ.</t>
  </si>
  <si>
    <t>− член экспертной группы "акушерство и гинекология" краевой аттестационной комиссии;
− член Медицинской Палаты Алтайского края; 
− член Ассоциации акушеров-гинекологов Алтайского края; 
− член Кемеровской региональной общественной организации «Ассоциация Акушеров-Гинекологов»;
− член междисциплинарной ассоциации специалистов репродуктивной медицины (МАРС);
− член Национальной ассоциации специалистов по тромбозам, клинической гемостазиологии и гемореологии.</t>
  </si>
  <si>
    <t>− главный внештатный специалист по гинекологии Минздрава Алтайского края;
− член экспертной группы "акушерство и гинекология" краевой аттестационной комиссии;
− председатель комитета по бюджету, налогам и финансам по вопросам медицины, Барнаульская городская дума;
− член Медицинской Палаты Алтайского края;
− член междисциплинарной ассоциации специалистов репродуктивной медицины (МАРС);
− член Российского Общества акушеров-гинекологов;
− член Ассоциации Акушеров и гинекологов Алтайского края.</t>
  </si>
  <si>
    <t>− главный внештатный специалист по медицинской профилактике Минздрава Алтайского края;
− член Комиссии по делам несовершеннолетних и защите их прав при Правительстве Алтайского края;
− член Экспертного совета по развитию здравоохранения Алтайского края при комитете здравоохранения Законодательного собрания Алтайского края по здравоохранению;
− член методической комиссии по специальности 31.05.01 Лечебное дело на 2023/2024 учебные годы; 
− член цикловой методической комиссии по дисциплинам терапевтического профиля на 2023/2024 учебные годы;
− член Российского научного медицинского общества терапевтов;
− член Российского общества профилактики неинфекционных заболеваний (РОПНИЗ);
− член Ассоциации по улучшению состояния здоровья и качества жизни населения «Здоровые города, районы, поселки»;
− член комиссии по рассмотрению заявлений товаропроизводителей об использовании товарного знака (знака обслуживания) «Алтайские продукты +100 к здоровью!» управления Алтайского края по пищевой, перерабатывающей, фармацевтической промышленности и биотехнологиям (Алтайпищепром); 
− член межведомственной, междисциплинарной рабочей группы по реализации в Алтайском крае комплекса мер, направленного на профилактику падений и переломов у лиц пожилого и старческого возраста.</t>
  </si>
  <si>
    <t>Федосеева Л.М.</t>
  </si>
  <si>
    <t>− главный внештатный специалист МЗ Алтайского края по медицинскому и фармацевтическому образованию;
− член Экспертной группы по аттестации специалистов с высшим и средним фармацевтическим образованием.</t>
  </si>
  <si>
    <t>− главный внештатный специалист по аналитической и судебно-медицинской токсикологии.</t>
  </si>
  <si>
    <t>−  председатель Алтайского регионального отделения межрегиональной общественной организации "Научное общество анатомов, гистологов и эмбриологов"</t>
  </si>
  <si>
    <t>Горячева М. В.</t>
  </si>
  <si>
    <t>член Алтайского регионального отделения межрегиональной общественной организации "Научное общество анатомов, гистологов и эмбриологов"</t>
  </si>
  <si>
    <t>Мальцева А.Е.</t>
  </si>
  <si>
    <t>Шепелева Н.В.</t>
  </si>
  <si>
    <t>Мотина Н.В.</t>
  </si>
  <si>
    <t>Требухов А.В.</t>
  </si>
  <si>
    <t>Червова И.В.</t>
  </si>
  <si>
    <t>Михеева О.О.</t>
  </si>
  <si>
    <t>− член Комитета по образованию, кадровому и профессиональному развитию ассоциации" Федерация лабораторной медицины" Российской Федерации;
− член Международной Федерации Клинической Химии и Лабораторной медицины клинической химии ( IFCC);
− эксперт аккредитационного центра МЗ РФ по клинической лабораторной диагностике;
− член профильной комиссии МЗ РФ по клинической лабораторной диагностике;                                                                                      − член Медицинской палаты Алтайского края.</t>
  </si>
  <si>
    <t>− главный внештатный специалист по судебно-медицинской экспертизе Министерства здравоохранения Алтайского края;
− председатель Алтайского отделения Всероссийского общества судебных медиков;
− член редакционных коллегий рекомендованных высшей аттестационной комиссией журналов "Судебно-медицинская экспертиза" и "Медицинская экспертиза и право";                                                                                                                                         − член общественной организации «Медицинская Палата Алтайского края».</t>
  </si>
  <si>
    <t>Лепилов А.В.</t>
  </si>
  <si>
    <t>Долгатов А.Ю.</t>
  </si>
  <si>
    <t xml:space="preserve">− член общественной организации «Медицинская Палата Алтайского края».                       </t>
  </si>
  <si>
    <t xml:space="preserve"> − член общественной организации «Медицинская Палата Алтайского края».                                                                                        − член Экспертной группы Аттестационной комиссии МЗ АК по специальности "Патологическая анатомия";</t>
  </si>
  <si>
    <t>− главный внештатный уролог МЗ АК;
− главный внештатный уролог СФО МЗ РФ;
− член аттестационной комиссии по хирургии МЗ АК;
− член профильной комиссии по урологии при МЗ РФ;
− председатель краевого общества урологов;
− заместитель председателя общественной палаты при МЗ АК;  
- председатель совета Старейшин АГМУ.</t>
  </si>
  <si>
    <t>Тен Ю.В.</t>
  </si>
  <si>
    <t>- член аттестационной комиссии по детской хирургии</t>
  </si>
  <si>
    <t>− эксперт по лицензионному контролю в области лицензирования медицинской деятельности Министерства здравоохранения Алтайского края;
− член Алтайского филиала всероссийского общества эпидемиологов, бактериологов, паразитологов;
− член организации "Медицинская Палата Алтайского края";
− член Некоммерческого партнерства «Национальная ассоциация специалистов по контролю инфекций, связанных с оказанием медицинской помощи» (НП «НАСКИ»);
− член международной общественной организации "ЕВРО-АЗИАТСКОЕ ОБЩЕСТВО ПО ИНФЕКЦИОННЫМ БОЛЕЗНЯМ";
− член профильной комиссии МЗ РФ по специальности "Эпидемиология".</t>
  </si>
  <si>
    <t>− член экспертной группы по "Социально-значимым заболеваниям" аттестационной комиссии Министерства здравоохранения Алтайского края;
− председатель Алтайского филиала всероссийского общества эпидемиологов, бактериологов, паразитологов;
− член организации "Медицинская Палата Алтайского края";
− член Некоммерческого партнерства «Национальная ассоциация специалистов по контролю инфекций, связанных с оказанием медицинской помощи» (НП «НАСКИ»);
− член международной общественной организации "ЕВРО-АЗИАТСКОЕ ОБЩЕСТВО ПО ИНФЕКЦИОННЫМ БОЛЕЗНЯМ";                                                                                                                                                                                            − член профильной комиссии МЗ РФ по специальности "Эпидемиология".</t>
  </si>
  <si>
    <t>Григорян М.А.</t>
  </si>
  <si>
    <t>Хубезов Д.А.</t>
  </si>
  <si>
    <t>Войтенко А.Н.</t>
  </si>
  <si>
    <t>− член Российского общества урологов;
− член Российского общества онкоурологов                                                                                                                                                                                                                                                                                                                                                                                                                                                  --заведующий урологическим отделением КГБУЗ "Алтайский краевой госпиталь для ветеранов войн"</t>
  </si>
  <si>
    <t>Шестаков Д.Ю.</t>
  </si>
  <si>
    <t>− член Алтайского отделения Российского общества хирургов;
− секретарь аккредитационной комиссии по хирургии Алтайского края                                                                                                                                                                                                                                                                                                                                                                                               --заведующий операционным блоком КГБУЗ ККБСМП №2</t>
  </si>
  <si>
    <t xml:space="preserve">− член Общественной организации «Медицинская палата Алтайского края»                                                                                                                                                                                                                                                                                                                                                               --член редакционного совета журнала "Весник хирургической гастронтерологии"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-академик Нью-Йоркской и Международной медицинской академии Shape Memory Implant Academy
</t>
  </si>
  <si>
    <t>Мяделец Д.Н.</t>
  </si>
  <si>
    <t>Кожевников Е.В.</t>
  </si>
  <si>
    <t xml:space="preserve"> - член Ассоциации травматологов-ортопедов России</t>
  </si>
  <si>
    <t>Чанцев А.В.</t>
  </si>
  <si>
    <t>- член экспертного совета по физиологии Международной объединённой академии наук (МОАН/IUAS, секция медицинских и биологических наук);  
- член координационного совета по преподаванию нормальной физиологии при Российском физиологическом обществе им. И.П. Павлова; 
- председатель Алтайского регионального отделения Российского физиологического общества им. И.П. Павлова 
- член Национальной ассоциации по тромбозу и гемостазу; 
- член межрегиональной общественной организации «Лига Преподавателей Высшей Школы»; 
- член Правления Алтайского регионального отделения Общероссийской общественной организации "Российские студенческие отряды".</t>
  </si>
  <si>
    <t xml:space="preserve">− член Российского общества физиологов им. И.П.Павлова,
-  член Национальной ассоциации по тромбозу и гемостазу; </t>
  </si>
  <si>
    <t xml:space="preserve">− член Российского общества физиологов им. И.П.Павлова, 
-  член Национальной ассоциации по тромбозу и гемостазу; </t>
  </si>
  <si>
    <t>− член Контрольно-ревизионной комиссии Правления Алтайского регионального отделения Общероссийской общественной организации "Российские студенческие отряды";
− член Российского общества физиологов им. И.П.Павлова;
- член Национальной ассоциации по тромбозу и гемостазу;  
- член межрегиональной общественной организации «Лига Преподавателей Высшей Школы».</t>
  </si>
  <si>
    <t>− член Межрегиональной общественной организации "Ассоциация врачей-гематологов Сибири"; 
− член организации "Медицинская Палата Алтайского края";
− эксперт бюро судебно-медицинской экспертизы;</t>
  </si>
  <si>
    <t>− член аттестационной комиссии ББМК;
− член международной общественной организации "ЕВРО-АЗИАТСКОЕ ОБЩЕСТВО ПО ИНФЕКЦИОННЫМ БОЛЕЗНЯМ";
− член Алтайской краевой общественной организации «Ассоциация инфекционистов Алтайского края»;
− член Медицинской палаты Алтайского края (при Министерстве здравоохранения Алтайского края).</t>
  </si>
  <si>
    <t>− эксперт ТФОМС Алтайского края;
− член международной общественной организации "ЕВРО-АЗИАТСКОЕ ОБЩЕСТВО ПО ИНФЕКЦИОННЫМ БОЛЕЗНЯМ";
− член Алтайской краевой общественной организации «Ассоциация инфекционистов Алтайского края»;
− член Медицинской палаты Алтайского края (при Министерстве здравоохранения Алтайского края).</t>
  </si>
  <si>
    <t>− главный внештатный специалист по инфекционным болезням Министерства здравоохранения Алтайского края;
− главный внештатный специалист по проблемам диагностики и лечения ВИЧ-инфекции Министерства здравоохранения Алтайского края;
− председатель Экспертной группы по социально значимым заболеваниям (инфекционные болезни, фтизиатрия, дерматовенерология, бактериология, эпидемиология) краевой аттестационной комиссии Министерства здравоохранения Алтайского края;
− президент Алтайской краевой общественной организации «Ассоциация инфекционистов Алтайского края»;
− член профильной комиссии Министерства здравоохранения Российской Федерации по специальности «инфекционные болезни»;
− член международной общественной организации "ЕВРО-АЗИАТСКОЕ ОБЩЕСТВО ПО ИНФЕКЦИОННЫМ БОЛЕЗНЯМ";
− член Медицинской палаты Алтайского края (при Министерстве здравоохранения Алтайского края).</t>
  </si>
  <si>
    <t>− член Алтайской краевой общественной организации «Ассоциация инфекционистов Алтайского края»;
− член Медицинской палаты Алтайского края (при Министерстве здравоохранения Алтайского края).</t>
  </si>
  <si>
    <t>Лубская Н.С.</t>
  </si>
  <si>
    <t>− член профильной комиссии Министерства здравоохранения Российской Федерации по специальности «инфекционные болезни»;
− секретарь краевой комиссии по диагностике клещевого энцефалита Министерства здравоохранения Алтайского края;
− член Медицинской палаты Алтайского края (при Министерстве здравоохранения Алтайского края).;
− член краевой комиссии по профессиональныи заболеваниям краевого профпатологического центра при Министерстве здравоохранения Алтайского края;
− секретарь краевой комиссии по диагностике полиомиелита и острых вялых параличей Министерства здравоохранения Алтайского края.</t>
  </si>
  <si>
    <t>Киричек Е.Ю.</t>
  </si>
  <si>
    <t>Рощик А.С.</t>
  </si>
  <si>
    <t>− главный внештатный специалист организации медицинской помощи несовершеннолетним в ДШО при Министерстве здравоохранения Алтайского края;
− член Медицинской палаты Алтайского края (при Министерстве здравоохранения Алтайского края).</t>
  </si>
  <si>
    <t>Иванова М.Э.</t>
  </si>
  <si>
    <t>аттестационная комиссия по присуждению врачебной категории</t>
  </si>
  <si>
    <t>Гервазиев Д.В.</t>
  </si>
  <si>
    <t>член Медицинской Палаты Алтайского края</t>
  </si>
  <si>
    <t>Денисова Е.А.</t>
  </si>
  <si>
    <t>Клестер Е.Б.</t>
  </si>
  <si>
    <t>член Медицинской Палаты Алтайского края, член профессионального сообщества по респираторной медицине Алтайского края</t>
  </si>
  <si>
    <t xml:space="preserve">Клестер К.В. </t>
  </si>
  <si>
    <t>Титова Е.А.</t>
  </si>
  <si>
    <t>Андриенко А.В.</t>
  </si>
  <si>
    <t>Белозерова С.А.</t>
  </si>
  <si>
    <t xml:space="preserve"> внештатный специалист МЗ Алтайского края</t>
  </si>
  <si>
    <t>Лысенко Т.А.</t>
  </si>
  <si>
    <t>председатель аккредитационной комиссии по специальности "Эндокринология"</t>
  </si>
  <si>
    <t>− член экспертной группы по офтальмологии и оториноларингологии Министерства здравоохранения Алтайского края;
− председатель "Общества оториноларингологов" Алтайского края;
− член общественного совета краевой программы "Алтай-земля героев";
− депутат АКЗС;
− заместитель председателя комитета по здравоохранению АКЗС;
− член "Медицинской палаты" Алтайского края;
− член эекспертного совета АКЗС;
− член рабочей группы комитета по социальной защите и занятости населения АКЗС;
− член депутатских экспертных рабочих групп.</t>
  </si>
  <si>
    <t>Шульц К.В.</t>
  </si>
  <si>
    <t>Синенко Е.А.</t>
  </si>
  <si>
    <t>Черкасова Т.М.</t>
  </si>
  <si>
    <t>− член Медицинской Палаты.                                                                                                                                                         -- член Алтайского краевого бюро судебно-медицинской экспертизы по специальности "неонатология"                                      -- член Рабочей группы с целью оценки рождаемости в муниципалитетах края</t>
  </si>
  <si>
    <t>Казанина А.Б.</t>
  </si>
  <si>
    <t>− член Медицинской Палаты.</t>
  </si>
  <si>
    <t>Мальченко О.Н.</t>
  </si>
  <si>
    <t>Бондарь В.А.</t>
  </si>
  <si>
    <t xml:space="preserve">− член президиума Ассоциации врачей офтальмологов и оптометристов Алтайского края;
- секретарь аттестационной комиссии врачей офтальмологов Алтайского края
− член медицинской палаты Алтайского края.
</t>
  </si>
  <si>
    <t xml:space="preserve">Гусейнов Р.Г. </t>
  </si>
  <si>
    <t>− член Аккредитационной подкомиссии по специальности "Травматология и ортопедия" для проведения аккредитации специалистов в ФГБОУ ВО "Алтайский государственный медицинский университет" Минздрава России.</t>
  </si>
  <si>
    <t>Батрак Я.Ю.</t>
  </si>
  <si>
    <t>− главный внештатный специалист по профпатологии Алтайского края;
− заместитель председателя аттестационной комиссии терапевтического профиля;
− председатель регионального научно-медицинского общества терапевтов РНМОТ;− член Медицинской Палаты Алтайского края; председатель краевого общества гериатров;  член академического собрания Алтайского филиала Сибирского отделения РАН
− член совета женщин при главе города Барнаула.</t>
  </si>
  <si>
    <t>− член научно-координационного Совета; − член Медицинской Палаты Алтайского края;</t>
  </si>
  <si>
    <t>Пырикова Н.В.</t>
  </si>
  <si>
    <t>− член Медицинской Палаты Алтайского края;</t>
  </si>
  <si>
    <t>Борисова Л.В.</t>
  </si>
  <si>
    <t xml:space="preserve">− член Медицинской Палаты Алтайского края; </t>
  </si>
  <si>
    <t>Дехарь В.В.</t>
  </si>
  <si>
    <t xml:space="preserve">− член Медицинской Палаты Алтайского края;     </t>
  </si>
  <si>
    <t>Колодезная И.Л.</t>
  </si>
  <si>
    <t>Маркина И.Л.</t>
  </si>
  <si>
    <t>Молчанова А.А.</t>
  </si>
  <si>
    <t>Полякова И.Г.</t>
  </si>
  <si>
    <t>Алексенцева А.В.</t>
  </si>
  <si>
    <t>Момот Д.А.</t>
  </si>
  <si>
    <t>Силкина С.Б.</t>
  </si>
  <si>
    <t>Танков С.В.</t>
  </si>
  <si>
    <t xml:space="preserve">− эксперт Росздравнадзора по специальности гематология, терапия в АК;                                                                                  − член общественной организации «Медицинская Палата Алтайского края»;
</t>
  </si>
  <si>
    <t>Белых В.И.</t>
  </si>
  <si>
    <t xml:space="preserve">− член общественной организации «Медицинская Палата Алтайского края»;
</t>
  </si>
  <si>
    <t>Буйлова Е.В.</t>
  </si>
  <si>
    <t xml:space="preserve">Вейцман И.А. </t>
  </si>
  <si>
    <t xml:space="preserve">- член Евроазиатского общества терапевтов;                                                                                                                                                                                                                                                                                                                                                              -- эксперт Росздравнадзора  по АК по специальности "эндокринология"                                                                                                                                                                                                                   − член всероссийского общества терапевтов;                                                                                                                                − член общественной организации «Медицинская Палата Алтайского края»;
</t>
  </si>
  <si>
    <t>Ломакина Н.А.</t>
  </si>
  <si>
    <t xml:space="preserve">− член Всероссийского общества терапевтов;                                                                                                                                − член общественной организации «Медицинская Палата Алтайского края»;
</t>
  </si>
  <si>
    <t>Мальцева И.В.</t>
  </si>
  <si>
    <t>Сидоров Н.С.</t>
  </si>
  <si>
    <t>− главный внештатный детский  специалист  по аллергологии и иммунологии Министерства здравоохранения Алтайского края
− руководитель регионального отделения Ассоциации детских аллергологов и иммунологов России (АДАИР)                                                                                                                                                                                                              − член  президиума правления Ассоциации детских аллергологв и иммунологв России (АДАИР);           
− член Экспертной группы Аттестационной комиссии Министерства здравоохранения Алтайского края по специальности «Педиатрия"                                                                                                                                                                                                − член общественной организации «Медицинская Палата Алтайского края»                                                                                        − член  Российской ассоциации аллергологв и клинических иммунологов  (РААКИ)</t>
  </si>
  <si>
    <t>− член Экспертной группы Аттестационной комиссии Министерства здравоохранения Алтайского края по специальности «Педиатрия»                                                                                                                                                                                                           − член общественной организации «Медицинская Палата Алтайского края»</t>
  </si>
  <si>
    <t>− член Экспертной группы Аттестационной комиссии Министерства здравоохранения Алтайского края по специальности «Педиатрия»                                                                                                                                                                                                            − член общественной организации «Медицинская Палата Алтайского края»</t>
  </si>
  <si>
    <t>− главный внештатный специалист по детскому питанию Министерства здравоохранения Алтайского края;
− член Экспертной группы Аттестационной комиссии Министерства здравоохранения Алтайского края по специальности «Педиатрия»                                                                                                                                                                                                               − член общественной организации «Медицинская Палата Алтайского края»</t>
  </si>
  <si>
    <t>Бабушкин И.Е.</t>
  </si>
  <si>
    <t xml:space="preserve">   - член рабочей группы по внесению изменений в Федеральный закон от 29.12.2012 № 273-ФЗ "Об образовании в Российскй Федерации" в части регулирования целевого обучения.     </t>
  </si>
  <si>
    <t xml:space="preserve">− заместитель пердседателя экспертной группы по грудной и сердечно-сосудистой хирургии;
− рецензент МЗ Алтайского края летальных исходов сердечно-сосудистых заболеваний;
− эксперт бюро судебно-медицинской экспертизы МЗ АК;
- член Диссертационного Совета по специальности «Хирургия»; 
- член Российского общества ангиологов и сосудистых хирургов;
- член Ассоциации флебологов России;
- член Российского общества хирургов;
- член Ученого Совета АГМУ. </t>
  </si>
  <si>
    <t xml:space="preserve">− член экспертной группы по хирургии Минздрава Алтайского края;
− эксперт Краевого Бюро СМЭ АК;
− член Алтайского отделения Российского общества хирургов;
− член Общественной организации «Медицинская палата Алтайского края»;  
- член проблемной комиссии по хирургии АГМУ;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</si>
  <si>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− член Общественной организации «Медицинская палата Алтайского края»;
- секретарь проблемной комиссии по хирургии АГМУ;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</si>
  <si>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− член медицинской палаты Алтайского края;
</t>
  </si>
  <si>
    <r>
      <t xml:space="preserve">− главный внештатный специалист при МЗ АК;
− член аттестационной комиссии МЗ АК;
− эксперт МЗ АК;
</t>
    </r>
    <r>
      <rPr>
        <sz val="14"/>
        <rFont val="Times New Roman"/>
        <charset val="204"/>
      </rPr>
      <t>- член Медицинской Палаты Алтайского края</t>
    </r>
  </si>
  <si>
    <r>
      <rPr>
        <sz val="14"/>
        <rFont val="Times New Roman"/>
        <charset val="1"/>
      </rPr>
      <t xml:space="preserve">− председатель научно-практического общества анестезиологов-реаниматологов АК;
− эксперт МЗ АК.                                                                                                                                                                               </t>
    </r>
    <r>
      <rPr>
        <sz val="14"/>
        <rFont val="Times New Roman"/>
        <charset val="204"/>
      </rPr>
      <t>- член Медицинской Палаты Алтайского края</t>
    </r>
  </si>
  <si>
    <r>
      <rPr>
        <sz val="14"/>
        <rFont val="Times New Roman"/>
        <charset val="1"/>
      </rPr>
      <t xml:space="preserve">− член аттестационной комиссии МЗ АК.                                                                                                                                         </t>
    </r>
    <r>
      <rPr>
        <sz val="14"/>
        <rFont val="Times New Roman"/>
        <charset val="204"/>
      </rPr>
      <t>- член Медицинской Палаты Алтайского края</t>
    </r>
  </si>
  <si>
    <t xml:space="preserve">− член аттестационной комиссии МЗ АК;                                                                                                                                         - член научно-производственного совета по специальности СМП при МЗ АК;                                                                              - член Медицинской Палаты Алтайского края
</t>
  </si>
  <si>
    <t>Рахмонов А.А.</t>
  </si>
  <si>
    <r>
      <rPr>
        <sz val="14"/>
        <rFont val="Times New Roman"/>
        <charset val="1"/>
      </rPr>
      <t xml:space="preserve">- секретарь  научно-практического общества анестезиологов-реаниматологов АК;                                                                        </t>
    </r>
    <r>
      <rPr>
        <sz val="14"/>
        <rFont val="Times New Roman"/>
        <charset val="204"/>
      </rPr>
      <t>- член Медицинской Палаты Алтайского края</t>
    </r>
  </si>
  <si>
    <t>Елизарьев А.Ю.</t>
  </si>
  <si>
    <t>- член Медицинской Палаты Алтайского края</t>
  </si>
  <si>
    <t>Аксенова Л.В.</t>
  </si>
  <si>
    <t>Буренкин А.А.</t>
  </si>
  <si>
    <t>Дружинин А.С.</t>
  </si>
  <si>
    <t>Хаустова С.А.</t>
  </si>
  <si>
    <t xml:space="preserve">- член правления Алтайского отделения Российской ассациации политической науки (РАПН);
− член Алтайского отделения Российского исторического общества.  </t>
  </si>
  <si>
    <t>− член Территориальной комиссии при Территориальном фонде обязательного медицинского страхования Алтайского края; 
− член Координационного совета при Территориальном фонде обязательного медицинского страхования Алтайского края;
− заместитель председателя комитета по здравоохранению Алтайского краевого законодательного собрания;
− председатель комиссии по профилактике заболеваний, формированию здорового образа жизни, развитию медицинской реабилитации и санаторно-курортного лечения в Экспертном совете по развитию здравоохранения в Алтайском крае, созданного при комитете по здравоохранению в АКЗС;
− постоянный член Президиума правления Ассоциации онкологических организаций Сибири и Дальнего Востока;
− член Ассоциации Онкологов России (АОР); 
- председатель Совета Федерального проекта "Старшее поколение в Алтайском крае"; 
-член Учёного Совета ФГБОУ ВО АГМУ Минздрава России; 
- член Ассоциации организаторов в  онкологии России; 
-главный редактор Российского онкологического журнала; 
- член редколлегии  журнала "Вопросы онкологии"; 
- член ревизионной комиссии Российского общенародного фронта.</t>
  </si>
  <si>
    <t>Подзорова Е.А.</t>
  </si>
  <si>
    <t>Бакирова Н.М.</t>
  </si>
  <si>
    <t>Дмитриенко Н.Ю</t>
  </si>
  <si>
    <t>Жиленко О.Г.</t>
  </si>
  <si>
    <t>Зейберт А.Ю.</t>
  </si>
  <si>
    <t>Кудрина К.О.</t>
  </si>
  <si>
    <t>Лыткина А.А.</t>
  </si>
  <si>
    <t>Фалалеева С.О.</t>
  </si>
  <si>
    <t>Федорова Р.К.</t>
  </si>
  <si>
    <t>Шилова Ю.Н.</t>
  </si>
  <si>
    <t>− член регионального отделения МОО "Российское респираторное общество";
− член медицинской палаты Алтайского края.</t>
  </si>
  <si>
    <t>− членрегионального отделения МОО "Российское респираторное общество";
− член медицинской палаты Алтайского края.</t>
  </si>
  <si>
    <t>Кафедра общей и прикладной психологиия</t>
  </si>
  <si>
    <t>Волкова Т.Г.</t>
  </si>
  <si>
    <t>- член экспертного совета  регионального этапа Всероссийского конкурса  профессионального мастерства "Педагог-психолог",                                
-  член межведомственной  рабочей группы Следственного управления Следственного комитета Российской Федерации по Алтайскому краю по организации психологической деятельности  и совершенствования психологического обеспечения служебной деятельности</t>
  </si>
  <si>
    <t>Эпидемиологии</t>
  </si>
  <si>
    <t>Акушерства и гинекологии с курсом ДПО № 2</t>
  </si>
  <si>
    <t>− член Алтайского отделения Российского общества хирургов;                                                                                                                          - член проблемной комиссии по хирургии;
− член Общественной организации «Медицинская палата Алтайского края».</t>
  </si>
  <si>
    <t>− заместитель Председателя Правительства, спикер;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министр здравоохранения Республики Алтай;
 - координатор федерального партийного проекта «Здоровое будущее»;
 - член Президиума Генерального совета Партии «ЕДИНАЯ РОССИЯ»;
 - координатор направления «Здоровье человека» Народной программы Партии «ЕДИНАЯ РОССИИЯ» «За благополучие
и достойную жизнь людей. За сильную и успешную Россию.»;
 - член Постоянной комиссии ПА ОДКБ по социально-экономическим и правовым вопросам;
 - главный внештатный специалист по первой помощи Министерства здравоохранения Российской Федерации.</t>
  </si>
  <si>
    <t xml:space="preserve">- член медицинской палаты Алтайского края
- член Общероссийской Ассоциации травматологов-ортопедов России
- эксперт травматолог-ортопед отдела сложных комиссионных и комплексных экспертиз КГБУЗ «Алтайское краевое бюро судебно-медицинской экспертизы»
</t>
  </si>
  <si>
    <t>Румянцев А.А.</t>
  </si>
  <si>
    <t>- главный внештатный детский онколог и гематолог Минздрава Алтайского края</t>
  </si>
  <si>
    <t>− член  Ассоциации врачей офтальмологов и оптометристов Алтайского края;
− член медицинской палаты Алтайского края.</t>
  </si>
  <si>
    <t>Акушерства и гинекологии с курсом ДПО № 1</t>
  </si>
  <si>
    <t>Эндокринологии с куром ДПО</t>
  </si>
  <si>
    <t>Вейцман И.А.</t>
  </si>
  <si>
    <t xml:space="preserve">эксперт Росздравнадзора по специальности Эндокринология </t>
  </si>
  <si>
    <t>− член медицинской палаты Алтайского края;
− член Межрегиональной общественной организации "Ассоциация клинических фармакологов".</t>
  </si>
  <si>
    <t>Чанцева Т.И.</t>
  </si>
  <si>
    <t>− член "Общества оториноларингологов" Алтайского края;
− член "Медицинской палаты" Алтайского края.</t>
  </si>
  <si>
    <t>Нестеренко Т.Г.</t>
  </si>
  <si>
    <t>Городова Л.Н.</t>
  </si>
  <si>
    <t>Шарак Г.А.</t>
  </si>
  <si>
    <t>− председатель контроль-ревизионной комиссии Алтайского регионального отделения МООО "Российское Студенческие Отряды";
− директор Алтайского краевого фонда поддержки молодежных инициатив;
− член Алтайского регионального отделения МООО "Российское Студенческие Отряды"                                                                                                                                   − член общественной организации "Медицинская Палата Алтайского края".</t>
  </si>
  <si>
    <t>− член редакционной коллегии Российского онкологического журнала;                                                                                                                                                                               − член диссертационного совета 21.2.001.01;                                                                                                                                                                 − член общественной организации «Медицинская Палата Алтайского края».</t>
  </si>
  <si>
    <t>Андреев Р.С.</t>
  </si>
  <si>
    <t>Семенихина Н.М.</t>
  </si>
  <si>
    <t>– член Правления Всероссийского общества неврологов
– председатель регионального общества неврологов АК
–  член Исполкома РОКИРС (Российский комитет исследователей рассеянного склероза)
– член Экспертного совета РФ по болезни Гентингтона
– член Международного общества по болезни Паркинсона и двигательным расстройствам (MDS) Российской Федерации.</t>
  </si>
  <si>
    <t xml:space="preserve">− член международной общественной организации «ЕВРО-АЗИАТСКОЕ ОБЩЕСТВО ПО ИНФЕКЦИОННЫМ БОЛЕЗНЯМ»           
− координатор программы «Сопровождение и поддержка людей, затронутых ВИЧ-инфекцией» Алтайского регионального отделения ООО «Российский Красный Крест»           
− лектор Российского общества «Знание» </t>
  </si>
  <si>
    <t>Кирсанов Р. И.</t>
  </si>
  <si>
    <t>- член Исполкома Алтайского регионального отделения Российской Ассоциации Специалистов Ультразвуковой Диагностики в Медицине (РАСУДМ)</t>
  </si>
  <si>
    <t>Бесклубова Е. В.</t>
  </si>
  <si>
    <t>− член государственной аттестационной комиссии по направлению 44.04.01. "Педагогическое образование: Русский язык как иностранный в полиэтническом и поликультурном пространстве" в АлтГПУ.</t>
  </si>
  <si>
    <t>− председатель экспертной группы МЗ АК по сердечно-сосудистой и торакальной хирургии;
− председатель координационного совета по обеспечению защиты прав граждан в системе обязательного медицинского страхования Алтайского края;</t>
  </si>
  <si>
    <t>− член Общественного совета Главного бюро медико-социальной экспертизы АК;
- член конкурсной комиссии по предоставлению грантов Губернатора Алтайского края в сфере деятельности социально ориентированных некоммерческих организаций; 
- член правления Общества православных женщин Алтайского края</t>
  </si>
  <si>
    <t xml:space="preserve">Миронова С.В. </t>
  </si>
  <si>
    <t>– член Российского общества социологов</t>
  </si>
  <si>
    <t xml:space="preserve"> - член Регионального общества травматологов              
- -секретарь аттестационной комиссии по специальности "Травматология и ортопедия"</t>
  </si>
  <si>
    <t xml:space="preserve"> - член Ассоциации травматологов-ортопедов России                                                                        
 -член аттестационной комиссии по специальности "Травматология и ортопедия"</t>
  </si>
  <si>
    <t>-член аттестационной комиссии по специальности "Травматология и ортопедия"</t>
  </si>
  <si>
    <t>Лукьянов В.В.</t>
  </si>
  <si>
    <t xml:space="preserve">− член правления Российского общества психиатров; 
− член экспертного совета журнала «Аккредитация в образовании»; 
− эксперт Росздравнадзора по психиатрии; 
− член редакционного совета журнала психиатрии и медицинской психологии;
− член аттестационной профильной комиссии Министерства здравоохранения Алтайского края по присвоению врачебных категорий;
− член медицинской палаты Алтайского края;
− член координационного совета по реализации демографической политики в Алтайском крае;
− член координационного совета по развитию туризма при Губернаторе Алтайского края;
− член Совета по развитию биотехнологий при Губернаторе Алтайского края;
− член Совета ректоров образовательных организаций высшего образования Алтайского края и Республики Алтай;
− член Совета ректоров медицинских и фармацевтических высших учебных заведений Российской Федерации;
− член Совета по науке, наукоемким технологиям и инновационному развитию при АКЗС;
− член Экспертного совета по развитию здравоохранения Алтайского края при постоянном комитете АКЗС;
− член Координационного совета по науке и высшему образованию при Губернаторе Алтайского края; 
− член редакционного совета журнала «Сибирский вестник психиатрии и наркологии»;
− член общественного совета проекта «Здоровое будущее» партии «Единая Россия» в Алтайском крае;
− член конкурсной комиссии ежегодного краевого конкурса «Интеллектуальный капитал Алтая»;
− член рабочей группы комиссии по присуждению премий в области науки и техники по номинации «Разработки и практическое применение новых методов и средств в здравоохранении»;  
− член организационного комитета юбилейных мероприятий студенческих отрядов; 
- главный редактор журнала «Бюллетень медицинской науки». </t>
  </si>
  <si>
    <t>Ведяшкин В.Н.</t>
  </si>
  <si>
    <t>− главный внештатный специалист детский психиатр Алтаского края;
− член аттестационной профильной комиссии Министерства здравоохранения Алтайского края по присвоению врачебных категорий.</t>
  </si>
  <si>
    <t xml:space="preserve">− член медицинской палаты Алтайского края;
- член редакционного совета журнала «Бюллетень медицинской науки»;
- член Союза писателей РФ; </t>
  </si>
  <si>
    <t>член Алтайского регионального отделения межрегиональной общественной организации "Научное общество анатомов, гистологов и эмбриологов" 
член Медицинской палаты Алтайского края (при Министерстве здравоохранения Алтайского края)</t>
  </si>
  <si>
    <t>член Алтайского регионального отделения межрегиональной общественной организации "Научное общество анатомов, гистологов и эмбриологов"
член Медицинской палаты Алтайского края (при Министерстве здравоохранения Алтайского края)</t>
  </si>
  <si>
    <t>Малюга О.М.</t>
  </si>
  <si>
    <t>Зенченко О.А.</t>
  </si>
  <si>
    <t>- член творческого объединения детских нефрологов России;
- член Российского общества нефрологов</t>
  </si>
  <si>
    <t>- член Евро Азиатского общества   инфекционистов;
- - член Российской ассоциации эндокринологов</t>
  </si>
  <si>
    <t>Госпитальной терапии с курсом ДПО</t>
  </si>
  <si>
    <t>Медицинской микробиологии</t>
  </si>
  <si>
    <t>− главный внештатный специалист травматолог-ортопед СФО Минздрава России;
− председатель экспертной группы по травматологии и нейрохирургии аттестационной комиссии Минздрава Алтайского края;
− депутат Алтайского краевого Законодательного Собрания восьмого созыва (2021-2026 гг.);
− заместитель председателя постоянного комитета Алтайского краевого Законодательного Собрания по здравоохранению.</t>
  </si>
  <si>
    <t>− главный внештатный специалист травматолог-ортопед Минздрава Алтайского края;                                                                 − председатель Аккредитационной подкомиссии по специальности "Травматология и ортопедия" для проведения аккредитации специалистов в ФГБОУ ВО "Алтайский государственный медицинский университет" Минздрава России;
− член экспертной группы по травматологии и нейрохирургии аттестационной комиссии Минздрава Алтайского края.</t>
  </si>
  <si>
    <t>− член Аккредитационной подкомиссии по специальности "Травматология и ортопедия" для проведения аккредитации специалистов в ФГБОУ ВО "Алтайский государственный медицинский университет" Минздрава России;                              − член экспертной группы по травматологии и нейрохирургии аттестационной комиссии Минздрава Алтайского края.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</si>
</sst>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00"/>
    <numFmt numFmtId="166" formatCode="dd/mm/yy\ h:mm;@"/>
  </numFmts>
  <fonts count="19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sz val="22"/>
      <color rgb="FFFF0000"/>
      <name val="Calibri"/>
      <family val="2"/>
      <charset val="204"/>
      <scheme val="minor"/>
    </font>
    <font>
      <b/>
      <u/>
      <sz val="14"/>
      <color theme="10"/>
      <name val="Calibri"/>
      <family val="2"/>
      <charset val="204"/>
      <scheme val="minor"/>
    </font>
    <font>
      <b/>
      <sz val="22"/>
      <color theme="6" tint="-0.249977111117893"/>
      <name val="Calibri"/>
      <family val="2"/>
      <charset val="204"/>
      <scheme val="minor"/>
    </font>
    <font>
      <b/>
      <sz val="14"/>
      <color indexed="81"/>
      <name val="Tahoma"/>
      <family val="2"/>
      <charset val="204"/>
    </font>
    <font>
      <b/>
      <sz val="14"/>
      <color theme="10"/>
      <name val="Calibri"/>
      <family val="2"/>
      <charset val="204"/>
      <scheme val="minor"/>
    </font>
    <font>
      <b/>
      <sz val="14"/>
      <color theme="10"/>
      <name val="Calibri"/>
      <family val="2"/>
      <charset val="204"/>
    </font>
    <font>
      <b/>
      <sz val="16"/>
      <color theme="0" tint="-0.249977111117893"/>
      <name val="Calibri"/>
      <family val="2"/>
      <charset val="204"/>
      <scheme val="minor"/>
    </font>
    <font>
      <sz val="11"/>
      <color theme="0" tint="-0.249977111117893"/>
      <name val="Calibri"/>
      <family val="2"/>
      <charset val="204"/>
      <scheme val="minor"/>
    </font>
    <font>
      <b/>
      <sz val="11"/>
      <color theme="0" tint="-0.249977111117893"/>
      <name val="Calibri"/>
      <family val="2"/>
      <charset val="204"/>
      <scheme val="minor"/>
    </font>
    <font>
      <b/>
      <sz val="24"/>
      <color rgb="FFFF0000"/>
      <name val="Verdana"/>
      <family val="2"/>
      <charset val="204"/>
    </font>
    <font>
      <sz val="11"/>
      <color theme="1"/>
      <name val="Verdana"/>
      <family val="2"/>
      <charset val="204"/>
    </font>
    <font>
      <b/>
      <sz val="16"/>
      <color theme="1"/>
      <name val="Verdana"/>
      <family val="2"/>
      <charset val="204"/>
    </font>
    <font>
      <b/>
      <sz val="16"/>
      <color rgb="FFFF0000"/>
      <name val="Verdana"/>
      <family val="2"/>
      <charset val="204"/>
    </font>
    <font>
      <b/>
      <sz val="11"/>
      <color rgb="FFFF0000"/>
      <name val="Verdana"/>
      <family val="2"/>
      <charset val="204"/>
    </font>
    <font>
      <sz val="11"/>
      <name val="Verdana"/>
      <family val="2"/>
      <charset val="204"/>
    </font>
    <font>
      <sz val="11"/>
      <color rgb="FFFF0000"/>
      <name val="Verdana"/>
      <family val="2"/>
      <charset val="204"/>
    </font>
    <font>
      <b/>
      <sz val="16"/>
      <color theme="10"/>
      <name val="Verdana"/>
      <family val="2"/>
      <charset val="204"/>
    </font>
    <font>
      <b/>
      <sz val="14"/>
      <color theme="1"/>
      <name val="Verdana"/>
      <family val="2"/>
      <charset val="204"/>
    </font>
    <font>
      <b/>
      <sz val="16"/>
      <color theme="0" tint="-0.249977111117893"/>
      <name val="Verdana"/>
      <family val="2"/>
      <charset val="204"/>
    </font>
    <font>
      <b/>
      <u/>
      <sz val="16"/>
      <color theme="10"/>
      <name val="Verdana"/>
      <family val="2"/>
      <charset val="204"/>
    </font>
    <font>
      <b/>
      <sz val="16"/>
      <color theme="0" tint="-0.499984740745262"/>
      <name val="Verdana"/>
      <family val="2"/>
      <charset val="204"/>
    </font>
    <font>
      <sz val="11"/>
      <color theme="0" tint="-0.249977111117893"/>
      <name val="Verdana"/>
      <family val="2"/>
      <charset val="204"/>
    </font>
    <font>
      <b/>
      <u/>
      <sz val="14"/>
      <color theme="10"/>
      <name val="Verdana"/>
      <family val="2"/>
      <charset val="204"/>
    </font>
    <font>
      <sz val="11"/>
      <color theme="0" tint="-0.499984740745262"/>
      <name val="Verdana"/>
      <family val="2"/>
      <charset val="204"/>
    </font>
    <font>
      <b/>
      <sz val="11"/>
      <color theme="0" tint="-0.249977111117893"/>
      <name val="Verdana"/>
      <family val="2"/>
      <charset val="204"/>
    </font>
    <font>
      <b/>
      <sz val="11"/>
      <color theme="1" tint="0.499984740745262"/>
      <name val="Verdana"/>
      <family val="2"/>
      <charset val="204"/>
    </font>
    <font>
      <b/>
      <sz val="11"/>
      <color theme="1"/>
      <name val="Verdana"/>
      <family val="2"/>
      <charset val="204"/>
    </font>
    <font>
      <b/>
      <sz val="13"/>
      <color rgb="FF7030A0"/>
      <name val="Verdana"/>
      <family val="2"/>
      <charset val="204"/>
    </font>
    <font>
      <sz val="11"/>
      <color theme="1" tint="0.34998626667073579"/>
      <name val="Verdana"/>
      <family val="2"/>
      <charset val="204"/>
    </font>
    <font>
      <b/>
      <sz val="13"/>
      <color rgb="FF0000FF"/>
      <name val="Verdana"/>
      <family val="2"/>
      <charset val="204"/>
    </font>
    <font>
      <b/>
      <sz val="13"/>
      <color theme="6" tint="-0.499984740745262"/>
      <name val="Verdana"/>
      <family val="2"/>
      <charset val="204"/>
    </font>
    <font>
      <sz val="14"/>
      <color theme="0" tint="-0.499984740745262"/>
      <name val="Verdana"/>
      <family val="2"/>
      <charset val="204"/>
    </font>
    <font>
      <b/>
      <sz val="12"/>
      <color theme="1"/>
      <name val="Verdana"/>
      <family val="2"/>
      <charset val="204"/>
    </font>
    <font>
      <b/>
      <sz val="11"/>
      <color theme="0" tint="-0.499984740745262"/>
      <name val="Verdana"/>
      <family val="2"/>
      <charset val="204"/>
    </font>
    <font>
      <b/>
      <sz val="11"/>
      <color theme="1" tint="0.34998626667073579"/>
      <name val="Verdana"/>
      <family val="2"/>
      <charset val="204"/>
    </font>
    <font>
      <b/>
      <sz val="11"/>
      <name val="Verdana"/>
      <family val="2"/>
      <charset val="204"/>
    </font>
    <font>
      <sz val="12"/>
      <color theme="1"/>
      <name val="Verdana"/>
      <family val="2"/>
      <charset val="204"/>
    </font>
    <font>
      <b/>
      <sz val="18"/>
      <color rgb="FFFF0000"/>
      <name val="Verdana"/>
      <family val="2"/>
      <charset val="204"/>
    </font>
    <font>
      <b/>
      <sz val="18"/>
      <color rgb="FF0000FF"/>
      <name val="Verdana"/>
      <family val="2"/>
      <charset val="204"/>
    </font>
    <font>
      <b/>
      <sz val="18"/>
      <color theme="6" tint="-0.249977111117893"/>
      <name val="Verdana"/>
      <family val="2"/>
      <charset val="204"/>
    </font>
    <font>
      <sz val="11"/>
      <color rgb="FF0000FF"/>
      <name val="Verdana"/>
      <family val="2"/>
      <charset val="204"/>
    </font>
    <font>
      <sz val="12"/>
      <color theme="1"/>
      <name val="Arial"/>
      <family val="2"/>
      <charset val="204"/>
    </font>
    <font>
      <sz val="11"/>
      <color rgb="FF95B850"/>
      <name val="Calibri"/>
      <family val="2"/>
      <scheme val="minor"/>
    </font>
    <font>
      <b/>
      <sz val="11"/>
      <color theme="0" tint="-0.249977111117893"/>
      <name val="Tahoma"/>
      <family val="2"/>
      <charset val="204"/>
    </font>
    <font>
      <b/>
      <sz val="16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11"/>
      <color theme="1"/>
      <name val="Tahoma"/>
      <family val="2"/>
      <charset val="204"/>
    </font>
    <font>
      <b/>
      <u/>
      <sz val="12"/>
      <color theme="10"/>
      <name val="Tahoma"/>
      <family val="2"/>
      <charset val="204"/>
    </font>
    <font>
      <b/>
      <sz val="13"/>
      <color rgb="FF7030A0"/>
      <name val="Tahoma"/>
      <family val="2"/>
      <charset val="204"/>
    </font>
    <font>
      <b/>
      <sz val="14"/>
      <color rgb="FF7030A0"/>
      <name val="Tahoma"/>
      <family val="2"/>
      <charset val="204"/>
    </font>
    <font>
      <b/>
      <sz val="12"/>
      <color theme="1"/>
      <name val="Tahoma"/>
      <family val="2"/>
      <charset val="204"/>
    </font>
    <font>
      <b/>
      <sz val="11"/>
      <color rgb="FFFF0000"/>
      <name val="Tahoma"/>
      <family val="2"/>
      <charset val="204"/>
    </font>
    <font>
      <b/>
      <sz val="12"/>
      <color theme="0" tint="-0.499984740745262"/>
      <name val="Tahoma"/>
      <family val="2"/>
      <charset val="204"/>
    </font>
    <font>
      <sz val="11"/>
      <color theme="0" tint="-0.499984740745262"/>
      <name val="Tahoma"/>
      <family val="2"/>
      <charset val="204"/>
    </font>
    <font>
      <sz val="11"/>
      <color theme="1" tint="0.34998626667073579"/>
      <name val="Tahoma"/>
      <family val="2"/>
      <charset val="204"/>
    </font>
    <font>
      <b/>
      <sz val="18"/>
      <color rgb="FF000099"/>
      <name val="Tahoma"/>
      <family val="2"/>
      <charset val="204"/>
    </font>
    <font>
      <sz val="11"/>
      <color rgb="FF0000FF"/>
      <name val="Tahoma"/>
      <family val="2"/>
      <charset val="204"/>
    </font>
    <font>
      <b/>
      <sz val="12"/>
      <color theme="1" tint="0.34998626667073579"/>
      <name val="Tahoma"/>
      <family val="2"/>
      <charset val="204"/>
    </font>
    <font>
      <sz val="12"/>
      <color theme="1"/>
      <name val="Tahoma"/>
      <family val="2"/>
      <charset val="204"/>
    </font>
    <font>
      <sz val="12"/>
      <color rgb="FF0000FF"/>
      <name val="Tahoma"/>
      <family val="2"/>
      <charset val="204"/>
    </font>
    <font>
      <b/>
      <u/>
      <sz val="11"/>
      <color theme="10"/>
      <name val="Tahoma"/>
      <family val="2"/>
      <charset val="204"/>
    </font>
    <font>
      <b/>
      <sz val="11"/>
      <color rgb="FF0000FF"/>
      <name val="Tahoma"/>
      <family val="2"/>
      <charset val="204"/>
    </font>
    <font>
      <sz val="10"/>
      <color theme="0" tint="-0.249977111117893"/>
      <name val="Verdana"/>
      <family val="2"/>
      <charset val="204"/>
    </font>
    <font>
      <b/>
      <sz val="12"/>
      <color rgb="FF0000FF"/>
      <name val="Tahoma"/>
      <family val="2"/>
      <charset val="204"/>
    </font>
    <font>
      <b/>
      <sz val="16"/>
      <name val="Calibri"/>
      <family val="2"/>
      <charset val="204"/>
      <scheme val="minor"/>
    </font>
    <font>
      <b/>
      <sz val="16"/>
      <color theme="0" tint="-0.249977111117893"/>
      <name val="Tahoma"/>
      <family val="2"/>
      <charset val="204"/>
    </font>
    <font>
      <b/>
      <sz val="16"/>
      <color theme="0" tint="-0.499984740745262"/>
      <name val="Tahoma"/>
      <family val="2"/>
      <charset val="204"/>
    </font>
    <font>
      <sz val="11"/>
      <color rgb="FFFF0000"/>
      <name val="Tahoma"/>
      <family val="2"/>
      <charset val="204"/>
    </font>
    <font>
      <sz val="11"/>
      <color theme="0" tint="-0.249977111117893"/>
      <name val="Tahoma"/>
      <family val="2"/>
      <charset val="204"/>
    </font>
    <font>
      <b/>
      <sz val="11"/>
      <color theme="1" tint="0.499984740745262"/>
      <name val="Tahoma"/>
      <family val="2"/>
      <charset val="204"/>
    </font>
    <font>
      <b/>
      <sz val="16"/>
      <color theme="10"/>
      <name val="Tahoma"/>
      <family val="2"/>
      <charset val="204"/>
    </font>
    <font>
      <b/>
      <u/>
      <sz val="16"/>
      <color theme="10"/>
      <name val="Tahoma"/>
      <family val="2"/>
      <charset val="204"/>
    </font>
    <font>
      <sz val="11"/>
      <color rgb="FFC00000"/>
      <name val="Tahoma"/>
      <family val="2"/>
      <charset val="204"/>
    </font>
    <font>
      <b/>
      <sz val="14"/>
      <color theme="1"/>
      <name val="Tahoma"/>
      <family val="2"/>
      <charset val="204"/>
    </font>
    <font>
      <b/>
      <sz val="18"/>
      <color rgb="FF0000FF"/>
      <name val="Tahoma"/>
      <family val="2"/>
      <charset val="204"/>
    </font>
    <font>
      <b/>
      <sz val="12"/>
      <color rgb="FFFF0000"/>
      <name val="Tahoma"/>
      <family val="2"/>
      <charset val="204"/>
    </font>
    <font>
      <sz val="11"/>
      <name val="Tahoma"/>
      <family val="2"/>
      <charset val="204"/>
    </font>
    <font>
      <b/>
      <sz val="14"/>
      <color rgb="FFFF0000"/>
      <name val="Tahoma"/>
      <family val="2"/>
      <charset val="204"/>
    </font>
    <font>
      <sz val="12"/>
      <color theme="0" tint="-0.499984740745262"/>
      <name val="Tahoma"/>
      <family val="2"/>
      <charset val="204"/>
    </font>
    <font>
      <sz val="12"/>
      <color rgb="FFFF0000"/>
      <name val="Tahoma"/>
      <family val="2"/>
      <charset val="204"/>
    </font>
    <font>
      <sz val="12"/>
      <color theme="1" tint="0.34998626667073579"/>
      <name val="Tahoma"/>
      <family val="2"/>
      <charset val="204"/>
    </font>
    <font>
      <b/>
      <sz val="12"/>
      <name val="Tahoma"/>
      <family val="2"/>
      <charset val="204"/>
    </font>
    <font>
      <sz val="11"/>
      <color theme="0" tint="-0.14999847407452621"/>
      <name val="Tahoma"/>
      <family val="2"/>
      <charset val="204"/>
    </font>
    <font>
      <b/>
      <sz val="14"/>
      <color rgb="FF0000FF"/>
      <name val="Tahoma"/>
      <family val="2"/>
      <charset val="204"/>
    </font>
    <font>
      <sz val="11"/>
      <color theme="0" tint="-0.14999847407452621"/>
      <name val="Verdana"/>
      <family val="2"/>
      <charset val="204"/>
    </font>
    <font>
      <sz val="12"/>
      <color rgb="FFFFFF00"/>
      <name val="Tahoma"/>
      <family val="2"/>
      <charset val="204"/>
    </font>
    <font>
      <sz val="11"/>
      <color rgb="FFFFFF00"/>
      <name val="Verdana"/>
      <family val="2"/>
      <charset val="204"/>
    </font>
    <font>
      <b/>
      <sz val="16"/>
      <color rgb="FFC00000"/>
      <name val="Tahoma"/>
      <family val="2"/>
      <charset val="204"/>
    </font>
    <font>
      <sz val="12"/>
      <name val="Tahoma"/>
      <family val="2"/>
      <charset val="204"/>
    </font>
    <font>
      <b/>
      <sz val="16"/>
      <color rgb="FFFF0000"/>
      <name val="Arial"/>
      <family val="2"/>
      <charset val="204"/>
    </font>
    <font>
      <b/>
      <sz val="18"/>
      <color rgb="FFFF0000"/>
      <name val="Calibri"/>
      <family val="2"/>
      <charset val="204"/>
      <scheme val="minor"/>
    </font>
    <font>
      <b/>
      <sz val="12"/>
      <color rgb="FF0000FF"/>
      <name val="Verdana"/>
      <family val="2"/>
      <charset val="204"/>
    </font>
    <font>
      <sz val="9"/>
      <color indexed="8"/>
      <name val="Tahoma"/>
      <family val="2"/>
      <charset val="204"/>
    </font>
    <font>
      <b/>
      <sz val="11"/>
      <color rgb="FFFFFF00"/>
      <name val="Verdana"/>
      <family val="2"/>
      <charset val="204"/>
    </font>
    <font>
      <sz val="11"/>
      <color rgb="FFFFFF00"/>
      <name val="Tahoma"/>
      <family val="2"/>
      <charset val="204"/>
    </font>
    <font>
      <b/>
      <sz val="12"/>
      <color rgb="FFFFFF00"/>
      <name val="Tahoma"/>
      <family val="2"/>
      <charset val="204"/>
    </font>
    <font>
      <b/>
      <sz val="20"/>
      <color rgb="FFFF0000"/>
      <name val="Verdana"/>
      <family val="2"/>
      <charset val="204"/>
    </font>
    <font>
      <sz val="12"/>
      <color rgb="FFC00000"/>
      <name val="Tahoma"/>
      <family val="2"/>
      <charset val="204"/>
    </font>
    <font>
      <sz val="12"/>
      <color rgb="FF7030A0"/>
      <name val="Tahoma"/>
      <family val="2"/>
      <charset val="204"/>
    </font>
    <font>
      <b/>
      <sz val="16"/>
      <color rgb="FF0000FF"/>
      <name val="Tahoma"/>
      <family val="2"/>
      <charset val="204"/>
    </font>
    <font>
      <b/>
      <sz val="18"/>
      <color rgb="FFC00000"/>
      <name val="Tahoma"/>
      <family val="2"/>
      <charset val="204"/>
    </font>
    <font>
      <b/>
      <sz val="12"/>
      <color rgb="FF7030A0"/>
      <name val="Tahoma"/>
      <family val="2"/>
      <charset val="204"/>
    </font>
    <font>
      <b/>
      <sz val="14"/>
      <color theme="10"/>
      <name val="Verdana"/>
      <family val="2"/>
      <charset val="204"/>
    </font>
    <font>
      <b/>
      <sz val="9"/>
      <color indexed="81"/>
      <name val="Tahoma"/>
      <family val="2"/>
      <charset val="204"/>
    </font>
    <font>
      <sz val="13"/>
      <color theme="1"/>
      <name val="Verdana"/>
      <family val="2"/>
      <charset val="204"/>
    </font>
    <font>
      <b/>
      <sz val="12"/>
      <color rgb="FFFF0000"/>
      <name val="Arial"/>
      <family val="2"/>
      <charset val="204"/>
    </font>
    <font>
      <sz val="12"/>
      <color theme="0" tint="-0.14999847407452621"/>
      <name val="Tahoma"/>
      <family val="2"/>
      <charset val="204"/>
    </font>
    <font>
      <sz val="12"/>
      <color theme="0" tint="-0.249977111117893"/>
      <name val="Tahoma"/>
      <family val="2"/>
      <charset val="204"/>
    </font>
    <font>
      <b/>
      <sz val="12"/>
      <color theme="1" tint="0.499984740745262"/>
      <name val="Tahoma"/>
      <family val="2"/>
      <charset val="204"/>
    </font>
    <font>
      <strike/>
      <sz val="11"/>
      <color theme="1"/>
      <name val="Tahoma"/>
      <family val="2"/>
      <charset val="204"/>
    </font>
    <font>
      <b/>
      <sz val="12"/>
      <color rgb="FFC00000"/>
      <name val="Arial"/>
      <family val="2"/>
      <charset val="204"/>
    </font>
    <font>
      <b/>
      <sz val="11"/>
      <color rgb="FF7030A0"/>
      <name val="Tahoma"/>
      <family val="2"/>
      <charset val="204"/>
    </font>
    <font>
      <b/>
      <sz val="12"/>
      <color theme="7" tint="-0.249977111117893"/>
      <name val="Tahoma"/>
      <family val="2"/>
      <charset val="204"/>
    </font>
    <font>
      <b/>
      <sz val="9"/>
      <color theme="0" tint="-0.499984740745262"/>
      <name val="Tahoma"/>
      <family val="2"/>
      <charset val="204"/>
    </font>
    <font>
      <b/>
      <sz val="10"/>
      <color theme="9" tint="-0.499984740745262"/>
      <name val="Arial"/>
      <family val="2"/>
      <charset val="204"/>
    </font>
    <font>
      <b/>
      <sz val="11"/>
      <color theme="9" tint="-0.499984740745262"/>
      <name val="Arial"/>
      <family val="2"/>
      <charset val="204"/>
    </font>
    <font>
      <b/>
      <sz val="18"/>
      <color theme="6" tint="-0.249977111117893"/>
      <name val="Calibri"/>
      <family val="2"/>
      <charset val="204"/>
      <scheme val="minor"/>
    </font>
    <font>
      <b/>
      <sz val="14"/>
      <color rgb="FFFFFF00"/>
      <name val="Tahoma"/>
      <family val="2"/>
      <charset val="204"/>
    </font>
    <font>
      <sz val="14"/>
      <color theme="1"/>
      <name val="Calibri"/>
      <family val="2"/>
      <scheme val="minor"/>
    </font>
    <font>
      <b/>
      <sz val="24"/>
      <color theme="6" tint="-0.249977111117893"/>
      <name val="Calibri"/>
      <family val="2"/>
      <charset val="204"/>
      <scheme val="minor"/>
    </font>
    <font>
      <sz val="16"/>
      <name val="Verdana"/>
      <family val="2"/>
      <charset val="204"/>
    </font>
    <font>
      <b/>
      <sz val="13"/>
      <color theme="7" tint="0.39997558519241921"/>
      <name val="Verdana"/>
      <family val="2"/>
      <charset val="204"/>
    </font>
    <font>
      <sz val="11"/>
      <color theme="7" tint="0.39997558519241921"/>
      <name val="Verdana"/>
      <family val="2"/>
      <charset val="204"/>
    </font>
    <font>
      <b/>
      <sz val="12"/>
      <name val="Verdana"/>
      <family val="2"/>
      <charset val="204"/>
    </font>
    <font>
      <sz val="12"/>
      <name val="Verdana"/>
      <family val="2"/>
      <charset val="204"/>
    </font>
    <font>
      <b/>
      <sz val="12"/>
      <color rgb="FFFF0000"/>
      <name val="Verdana"/>
      <family val="2"/>
      <charset val="204"/>
    </font>
    <font>
      <sz val="12"/>
      <color rgb="FFFF0000"/>
      <name val="Verdana"/>
      <family val="2"/>
      <charset val="204"/>
    </font>
    <font>
      <sz val="12"/>
      <color rgb="FF0000FF"/>
      <name val="Verdana"/>
      <family val="2"/>
      <charset val="204"/>
    </font>
    <font>
      <b/>
      <sz val="14"/>
      <color rgb="FF0000FF"/>
      <name val="Verdana"/>
      <family val="2"/>
      <charset val="204"/>
    </font>
    <font>
      <b/>
      <u/>
      <sz val="12"/>
      <color theme="10"/>
      <name val="Verdana"/>
      <family val="2"/>
      <charset val="204"/>
    </font>
    <font>
      <sz val="12"/>
      <color rgb="FFC00000"/>
      <name val="Verdana"/>
      <family val="2"/>
      <charset val="204"/>
    </font>
    <font>
      <b/>
      <sz val="11"/>
      <color rgb="FF0000FF"/>
      <name val="Verdana"/>
      <family val="2"/>
      <charset val="204"/>
    </font>
    <font>
      <b/>
      <sz val="13"/>
      <color theme="1"/>
      <name val="Verdana"/>
      <family val="2"/>
      <charset val="204"/>
    </font>
    <font>
      <b/>
      <sz val="16"/>
      <color rgb="FFFF0000"/>
      <name val="Calibri"/>
      <family val="2"/>
      <charset val="204"/>
      <scheme val="minor"/>
    </font>
    <font>
      <sz val="12"/>
      <color rgb="FFFF0000"/>
      <name val="Arial"/>
      <family val="2"/>
      <charset val="204"/>
    </font>
    <font>
      <b/>
      <sz val="26"/>
      <color rgb="FFFF0000"/>
      <name val="Tahoma"/>
      <family val="2"/>
      <charset val="204"/>
    </font>
    <font>
      <sz val="14"/>
      <name val="Verdana"/>
      <family val="2"/>
      <charset val="204"/>
    </font>
    <font>
      <sz val="13"/>
      <name val="Verdana"/>
      <family val="2"/>
      <charset val="204"/>
    </font>
    <font>
      <b/>
      <sz val="11"/>
      <name val="Calibri"/>
      <family val="2"/>
      <scheme val="minor"/>
    </font>
    <font>
      <b/>
      <sz val="13"/>
      <color rgb="FFFF0000"/>
      <name val="Verdana"/>
      <family val="2"/>
      <charset val="204"/>
    </font>
    <font>
      <sz val="13"/>
      <color rgb="FFFF0000"/>
      <name val="Verdana"/>
      <family val="2"/>
      <charset val="204"/>
    </font>
    <font>
      <b/>
      <sz val="11"/>
      <color rgb="FF7030A0"/>
      <name val="Verdana"/>
      <family val="2"/>
      <charset val="204"/>
    </font>
    <font>
      <sz val="14"/>
      <color rgb="FFFF0000"/>
      <name val="Verdan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name val="Tahoma"/>
      <family val="2"/>
      <charset val="204"/>
    </font>
    <font>
      <sz val="14"/>
      <color theme="1"/>
      <name val="Verdana"/>
      <family val="2"/>
      <charset val="204"/>
    </font>
    <font>
      <b/>
      <sz val="12"/>
      <color theme="6" tint="-0.499984740745262"/>
      <name val="Tahoma"/>
      <family val="2"/>
      <charset val="204"/>
    </font>
    <font>
      <b/>
      <sz val="12"/>
      <color theme="10"/>
      <name val="Tahoma"/>
      <family val="2"/>
      <charset val="204"/>
    </font>
    <font>
      <b/>
      <sz val="12"/>
      <color rgb="FF7030A0"/>
      <name val="Verdana"/>
      <family val="2"/>
      <charset val="204"/>
    </font>
    <font>
      <b/>
      <sz val="11"/>
      <name val="Tahoma"/>
      <family val="2"/>
      <charset val="204"/>
    </font>
    <font>
      <b/>
      <sz val="11"/>
      <color theme="1" tint="0.34998626667073579"/>
      <name val="Tahoma"/>
      <family val="2"/>
      <charset val="204"/>
    </font>
    <font>
      <sz val="11"/>
      <color theme="1" tint="4.9989318521683403E-2"/>
      <name val="Tahoma"/>
      <family val="2"/>
      <charset val="204"/>
    </font>
    <font>
      <b/>
      <sz val="14"/>
      <color theme="9" tint="-0.499984740745262"/>
      <name val="Tahoma"/>
      <family val="2"/>
      <charset val="204"/>
    </font>
    <font>
      <b/>
      <sz val="14"/>
      <color theme="4" tint="-0.249977111117893"/>
      <name val="Tahoma"/>
      <family val="2"/>
      <charset val="204"/>
    </font>
    <font>
      <b/>
      <sz val="16"/>
      <color rgb="FFFF0000"/>
      <name val="Tahoma"/>
      <family val="2"/>
      <charset val="204"/>
    </font>
    <font>
      <sz val="16"/>
      <color theme="1"/>
      <name val="Tahoma"/>
      <family val="2"/>
      <charset val="204"/>
    </font>
    <font>
      <sz val="16"/>
      <color rgb="FF0000FF"/>
      <name val="Tahoma"/>
      <family val="2"/>
      <charset val="204"/>
    </font>
    <font>
      <b/>
      <sz val="13"/>
      <color theme="0" tint="-0.249977111117893"/>
      <name val="Tahoma"/>
      <family val="2"/>
      <charset val="204"/>
    </font>
    <font>
      <b/>
      <sz val="12"/>
      <color theme="0" tint="-0.249977111117893"/>
      <name val="Tahoma"/>
      <family val="2"/>
      <charset val="204"/>
    </font>
    <font>
      <b/>
      <u/>
      <sz val="12"/>
      <color rgb="FFFF0000"/>
      <name val="Verdana"/>
      <family val="2"/>
      <charset val="204"/>
    </font>
    <font>
      <b/>
      <sz val="20"/>
      <color rgb="FFFF0000"/>
      <name val="Tahoma"/>
      <family val="2"/>
      <charset val="204"/>
    </font>
    <font>
      <b/>
      <sz val="20"/>
      <color rgb="FF0000FF"/>
      <name val="Tahoma"/>
      <family val="2"/>
      <charset val="204"/>
    </font>
    <font>
      <b/>
      <sz val="20"/>
      <color theme="6" tint="-0.249977111117893"/>
      <name val="Tahoma"/>
      <family val="2"/>
      <charset val="204"/>
    </font>
    <font>
      <b/>
      <sz val="10"/>
      <color indexed="81"/>
      <name val="Tahoma"/>
      <family val="2"/>
      <charset val="204"/>
    </font>
    <font>
      <b/>
      <sz val="12"/>
      <color indexed="81"/>
      <name val="Tahoma"/>
      <family val="2"/>
      <charset val="204"/>
    </font>
    <font>
      <sz val="16"/>
      <color theme="1"/>
      <name val="Verdana"/>
      <family val="2"/>
      <charset val="204"/>
    </font>
    <font>
      <b/>
      <sz val="11"/>
      <color theme="0" tint="-0.499984740745262"/>
      <name val="Tahoma"/>
      <family val="2"/>
      <charset val="204"/>
    </font>
    <font>
      <sz val="14"/>
      <color theme="1"/>
      <name val="Times New Roman"/>
      <family val="1"/>
      <charset val="204"/>
    </font>
    <font>
      <b/>
      <u/>
      <sz val="14"/>
      <color theme="10"/>
      <name val="Times New Roman"/>
      <family val="1"/>
      <charset val="204"/>
    </font>
    <font>
      <b/>
      <sz val="14"/>
      <color theme="1" tint="0.34998626667073579"/>
      <name val="Times New Roman"/>
      <family val="1"/>
      <charset val="204"/>
    </font>
    <font>
      <sz val="14"/>
      <color theme="0" tint="-0.49998474074526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6"/>
      <color rgb="FF000099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color theme="1"/>
      <name val="Calibri"/>
      <scheme val="minor"/>
    </font>
    <font>
      <u/>
      <sz val="11"/>
      <color theme="10"/>
      <name val="Calibri"/>
      <scheme val="minor"/>
    </font>
    <font>
      <sz val="9"/>
      <color indexed="64"/>
      <name val="Tahoma"/>
    </font>
    <font>
      <sz val="9"/>
      <name val="Tahoma"/>
    </font>
    <font>
      <sz val="14"/>
      <color theme="1"/>
      <name val="Times New Roman"/>
    </font>
    <font>
      <sz val="14"/>
      <name val="Times New Roman"/>
    </font>
    <font>
      <sz val="11"/>
      <name val="Times New Roman"/>
    </font>
    <font>
      <sz val="14"/>
      <name val="Times New Roman"/>
      <charset val="1"/>
    </font>
    <font>
      <sz val="14"/>
      <color rgb="FF000000"/>
      <name val="Times New Roman"/>
      <charset val="1"/>
    </font>
    <font>
      <sz val="14"/>
      <name val="Times New Roman"/>
      <charset val="204"/>
    </font>
  </fonts>
  <fills count="6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5B8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4519C1"/>
        <bgColor indexed="64"/>
      </patternFill>
    </fill>
    <fill>
      <patternFill patternType="solid">
        <fgColor rgb="FFA2C6A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-0.249977111117893"/>
        <bgColor rgb="FF92D050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66FFFF"/>
        <bgColor indexed="64"/>
      </patternFill>
    </fill>
    <fill>
      <patternFill patternType="solid">
        <fgColor rgb="FFEFB3E4"/>
        <bgColor indexed="64"/>
      </patternFill>
    </fill>
    <fill>
      <patternFill patternType="solid">
        <fgColor rgb="FFB9CDE5"/>
        <bgColor rgb="FFC6D9F1"/>
      </patternFill>
    </fill>
    <fill>
      <patternFill patternType="solid">
        <fgColor theme="7" tint="0.39997558519241921"/>
        <bgColor theme="7" tint="0.39997558519241921"/>
      </patternFill>
    </fill>
    <fill>
      <patternFill patternType="solid">
        <fgColor theme="6" tint="0.39997558519241921"/>
        <bgColor theme="6" tint="0.39997558519241921"/>
      </patternFill>
    </fill>
    <fill>
      <patternFill patternType="solid">
        <fgColor theme="0"/>
        <bgColor theme="0"/>
      </patternFill>
    </fill>
  </fills>
  <borders count="1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</borders>
  <cellStyleXfs count="28">
    <xf numFmtId="0" fontId="0" fillId="0" borderId="0"/>
    <xf numFmtId="0" fontId="12" fillId="0" borderId="0" applyNumberFormat="0" applyFill="0" applyBorder="0" applyAlignment="0" applyProtection="0"/>
    <xf numFmtId="0" fontId="105" fillId="0" borderId="0"/>
    <xf numFmtId="0" fontId="9" fillId="0" borderId="0"/>
    <xf numFmtId="0" fontId="156" fillId="0" borderId="0" applyNumberFormat="0" applyFill="0" applyBorder="0" applyProtection="0"/>
    <xf numFmtId="0" fontId="157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61" borderId="0" applyNumberFormat="0" applyBorder="0" applyAlignment="0" applyProtection="0"/>
    <xf numFmtId="0" fontId="189" fillId="0" borderId="0"/>
    <xf numFmtId="0" fontId="189" fillId="61" borderId="0" applyNumberFormat="0" applyBorder="0"/>
    <xf numFmtId="0" fontId="190" fillId="0" borderId="0" applyNumberFormat="0" applyFill="0" applyBorder="0"/>
    <xf numFmtId="0" fontId="190" fillId="0" borderId="0" applyNumberFormat="0" applyFill="0" applyBorder="0"/>
    <xf numFmtId="0" fontId="191" fillId="0" borderId="0"/>
    <xf numFmtId="0" fontId="192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</cellStyleXfs>
  <cellXfs count="2383">
    <xf numFmtId="0" fontId="0" fillId="0" borderId="0" xfId="0"/>
    <xf numFmtId="0" fontId="0" fillId="0" borderId="1" xfId="0" applyBorder="1"/>
    <xf numFmtId="0" fontId="0" fillId="0" borderId="1" xfId="0" applyFill="1" applyBorder="1"/>
    <xf numFmtId="0" fontId="0" fillId="2" borderId="0" xfId="0" applyFill="1"/>
    <xf numFmtId="0" fontId="11" fillId="0" borderId="0" xfId="0" applyFont="1"/>
    <xf numFmtId="0" fontId="10" fillId="0" borderId="0" xfId="0" applyFont="1"/>
    <xf numFmtId="0" fontId="0" fillId="10" borderId="0" xfId="0" applyFill="1"/>
    <xf numFmtId="0" fontId="0" fillId="16" borderId="0" xfId="0" applyFill="1"/>
    <xf numFmtId="1" fontId="11" fillId="4" borderId="1" xfId="0" applyNumberFormat="1" applyFont="1" applyFill="1" applyBorder="1" applyAlignment="1">
      <alignment horizontal="left"/>
    </xf>
    <xf numFmtId="0" fontId="0" fillId="17" borderId="0" xfId="0" applyFill="1"/>
    <xf numFmtId="0" fontId="11" fillId="6" borderId="0" xfId="0" applyFont="1" applyFill="1"/>
    <xf numFmtId="0" fontId="0" fillId="6" borderId="0" xfId="0" applyFill="1"/>
    <xf numFmtId="0" fontId="13" fillId="0" borderId="0" xfId="0" applyFont="1"/>
    <xf numFmtId="0" fontId="14" fillId="0" borderId="0" xfId="1" applyFont="1"/>
    <xf numFmtId="0" fontId="19" fillId="0" borderId="0" xfId="0" applyFont="1"/>
    <xf numFmtId="0" fontId="20" fillId="0" borderId="0" xfId="0" applyFont="1"/>
    <xf numFmtId="0" fontId="19" fillId="6" borderId="1" xfId="0" applyFont="1" applyFill="1" applyBorder="1" applyProtection="1">
      <protection locked="0"/>
    </xf>
    <xf numFmtId="0" fontId="21" fillId="26" borderId="1" xfId="0" applyFont="1" applyFill="1" applyBorder="1" applyProtection="1">
      <protection locked="0"/>
    </xf>
    <xf numFmtId="0" fontId="22" fillId="0" borderId="7" xfId="0" applyFont="1" applyBorder="1" applyAlignment="1">
      <alignment horizontal="left" wrapText="1"/>
    </xf>
    <xf numFmtId="0" fontId="23" fillId="0" borderId="1" xfId="0" applyFont="1" applyBorder="1" applyAlignment="1">
      <alignment horizontal="left"/>
    </xf>
    <xf numFmtId="0" fontId="23" fillId="0" borderId="1" xfId="0" applyFont="1" applyBorder="1" applyAlignment="1">
      <alignment horizontal="left" textRotation="90" wrapText="1"/>
    </xf>
    <xf numFmtId="0" fontId="23" fillId="0" borderId="1" xfId="0" applyFont="1" applyFill="1" applyBorder="1" applyAlignment="1">
      <alignment horizontal="left" textRotation="90" wrapText="1"/>
    </xf>
    <xf numFmtId="0" fontId="23" fillId="18" borderId="1" xfId="0" applyFont="1" applyFill="1" applyBorder="1" applyAlignment="1">
      <alignment horizontal="left" textRotation="90" wrapText="1"/>
    </xf>
    <xf numFmtId="0" fontId="31" fillId="16" borderId="0" xfId="0" applyFont="1" applyFill="1"/>
    <xf numFmtId="0" fontId="24" fillId="16" borderId="0" xfId="0" applyFont="1" applyFill="1"/>
    <xf numFmtId="0" fontId="24" fillId="0" borderId="0" xfId="0" applyFont="1"/>
    <xf numFmtId="0" fontId="24" fillId="31" borderId="0" xfId="0" applyFont="1" applyFill="1"/>
    <xf numFmtId="0" fontId="24" fillId="0" borderId="0" xfId="0" applyFont="1" applyFill="1"/>
    <xf numFmtId="0" fontId="33" fillId="0" borderId="0" xfId="0" applyFont="1"/>
    <xf numFmtId="0" fontId="34" fillId="16" borderId="0" xfId="0" applyFont="1" applyFill="1"/>
    <xf numFmtId="0" fontId="23" fillId="16" borderId="0" xfId="0" applyFont="1" applyFill="1"/>
    <xf numFmtId="0" fontId="23" fillId="0" borderId="0" xfId="0" applyFont="1"/>
    <xf numFmtId="0" fontId="23" fillId="0" borderId="0" xfId="0" applyFont="1" applyFill="1"/>
    <xf numFmtId="0" fontId="23" fillId="31" borderId="0" xfId="0" applyFont="1" applyFill="1"/>
    <xf numFmtId="0" fontId="23" fillId="2" borderId="0" xfId="0" applyFont="1" applyFill="1"/>
    <xf numFmtId="0" fontId="36" fillId="0" borderId="0" xfId="0" applyFont="1"/>
    <xf numFmtId="0" fontId="37" fillId="16" borderId="0" xfId="0" applyFont="1" applyFill="1"/>
    <xf numFmtId="0" fontId="25" fillId="0" borderId="0" xfId="0" applyFont="1" applyFill="1"/>
    <xf numFmtId="0" fontId="38" fillId="0" borderId="0" xfId="0" applyFont="1" applyFill="1" applyBorder="1" applyAlignment="1">
      <alignment horizontal="right"/>
    </xf>
    <xf numFmtId="165" fontId="40" fillId="0" borderId="0" xfId="0" applyNumberFormat="1" applyFont="1"/>
    <xf numFmtId="165" fontId="41" fillId="0" borderId="0" xfId="0" applyNumberFormat="1" applyFont="1"/>
    <xf numFmtId="2" fontId="24" fillId="16" borderId="1" xfId="0" applyNumberFormat="1" applyFont="1" applyFill="1" applyBorder="1"/>
    <xf numFmtId="2" fontId="24" fillId="16" borderId="0" xfId="0" applyNumberFormat="1" applyFont="1" applyFill="1" applyBorder="1"/>
    <xf numFmtId="165" fontId="42" fillId="0" borderId="0" xfId="0" applyNumberFormat="1" applyFont="1"/>
    <xf numFmtId="1" fontId="24" fillId="16" borderId="1" xfId="0" applyNumberFormat="1" applyFont="1" applyFill="1" applyBorder="1"/>
    <xf numFmtId="1" fontId="24" fillId="16" borderId="0" xfId="0" applyNumberFormat="1" applyFont="1" applyFill="1" applyBorder="1"/>
    <xf numFmtId="0" fontId="23" fillId="17" borderId="0" xfId="0" applyFont="1" applyFill="1"/>
    <xf numFmtId="0" fontId="23" fillId="7" borderId="2" xfId="0" applyFont="1" applyFill="1" applyBorder="1"/>
    <xf numFmtId="0" fontId="30" fillId="33" borderId="0" xfId="0" applyFont="1" applyFill="1" applyBorder="1" applyAlignment="1">
      <alignment horizontal="left"/>
    </xf>
    <xf numFmtId="0" fontId="23" fillId="33" borderId="0" xfId="0" applyFont="1" applyFill="1"/>
    <xf numFmtId="0" fontId="23" fillId="0" borderId="0" xfId="0" applyFont="1" applyAlignment="1">
      <alignment vertical="top"/>
    </xf>
    <xf numFmtId="0" fontId="30" fillId="22" borderId="0" xfId="0" applyFont="1" applyFill="1" applyBorder="1" applyAlignment="1">
      <alignment horizontal="left" textRotation="90" wrapText="1"/>
    </xf>
    <xf numFmtId="0" fontId="30" fillId="8" borderId="0" xfId="0" applyFont="1" applyFill="1" applyBorder="1" applyAlignment="1">
      <alignment horizontal="left" textRotation="90" wrapText="1"/>
    </xf>
    <xf numFmtId="0" fontId="23" fillId="31" borderId="0" xfId="0" applyFont="1" applyFill="1" applyAlignment="1">
      <alignment vertical="top"/>
    </xf>
    <xf numFmtId="0" fontId="23" fillId="33" borderId="0" xfId="0" applyFont="1" applyFill="1" applyAlignment="1">
      <alignment vertical="top"/>
    </xf>
    <xf numFmtId="0" fontId="30" fillId="33" borderId="0" xfId="0" applyFont="1" applyFill="1" applyBorder="1" applyAlignment="1">
      <alignment horizontal="left" textRotation="90" wrapText="1"/>
    </xf>
    <xf numFmtId="0" fontId="23" fillId="4" borderId="0" xfId="0" applyFont="1" applyFill="1"/>
    <xf numFmtId="0" fontId="23" fillId="4" borderId="1" xfId="0" applyFont="1" applyFill="1" applyBorder="1"/>
    <xf numFmtId="0" fontId="23" fillId="18" borderId="1" xfId="0" applyFont="1" applyFill="1" applyBorder="1"/>
    <xf numFmtId="0" fontId="23" fillId="31" borderId="1" xfId="0" applyFont="1" applyFill="1" applyBorder="1"/>
    <xf numFmtId="0" fontId="23" fillId="0" borderId="1" xfId="0" applyFont="1" applyFill="1" applyBorder="1"/>
    <xf numFmtId="2" fontId="23" fillId="4" borderId="1" xfId="0" applyNumberFormat="1" applyFont="1" applyFill="1" applyBorder="1"/>
    <xf numFmtId="2" fontId="23" fillId="18" borderId="1" xfId="0" applyNumberFormat="1" applyFont="1" applyFill="1" applyBorder="1"/>
    <xf numFmtId="2" fontId="23" fillId="31" borderId="1" xfId="0" applyNumberFormat="1" applyFont="1" applyFill="1" applyBorder="1"/>
    <xf numFmtId="0" fontId="23" fillId="18" borderId="0" xfId="0" applyFont="1" applyFill="1"/>
    <xf numFmtId="164" fontId="23" fillId="18" borderId="1" xfId="0" applyNumberFormat="1" applyFont="1" applyFill="1" applyBorder="1"/>
    <xf numFmtId="0" fontId="23" fillId="2" borderId="1" xfId="0" applyFont="1" applyFill="1" applyBorder="1"/>
    <xf numFmtId="0" fontId="23" fillId="14" borderId="1" xfId="0" applyFont="1" applyFill="1" applyBorder="1"/>
    <xf numFmtId="164" fontId="23" fillId="4" borderId="1" xfId="0" applyNumberFormat="1" applyFont="1" applyFill="1" applyBorder="1"/>
    <xf numFmtId="164" fontId="23" fillId="14" borderId="1" xfId="0" applyNumberFormat="1" applyFont="1" applyFill="1" applyBorder="1"/>
    <xf numFmtId="0" fontId="23" fillId="14" borderId="0" xfId="0" applyFont="1" applyFill="1"/>
    <xf numFmtId="0" fontId="23" fillId="19" borderId="1" xfId="0" applyFont="1" applyFill="1" applyBorder="1"/>
    <xf numFmtId="0" fontId="23" fillId="25" borderId="1" xfId="0" applyFont="1" applyFill="1" applyBorder="1"/>
    <xf numFmtId="164" fontId="23" fillId="32" borderId="1" xfId="0" applyNumberFormat="1" applyFont="1" applyFill="1" applyBorder="1"/>
    <xf numFmtId="0" fontId="23" fillId="32" borderId="1" xfId="0" applyFont="1" applyFill="1" applyBorder="1"/>
    <xf numFmtId="0" fontId="28" fillId="32" borderId="1" xfId="0" applyFont="1" applyFill="1" applyBorder="1"/>
    <xf numFmtId="0" fontId="23" fillId="19" borderId="0" xfId="0" applyFont="1" applyFill="1"/>
    <xf numFmtId="0" fontId="23" fillId="19" borderId="9" xfId="0" applyFont="1" applyFill="1" applyBorder="1"/>
    <xf numFmtId="164" fontId="23" fillId="4" borderId="9" xfId="0" applyNumberFormat="1" applyFont="1" applyFill="1" applyBorder="1"/>
    <xf numFmtId="0" fontId="23" fillId="32" borderId="0" xfId="0" applyFont="1" applyFill="1" applyBorder="1"/>
    <xf numFmtId="0" fontId="47" fillId="17" borderId="9" xfId="0" applyFont="1" applyFill="1" applyBorder="1"/>
    <xf numFmtId="0" fontId="41" fillId="17" borderId="9" xfId="0" applyFont="1" applyFill="1" applyBorder="1"/>
    <xf numFmtId="0" fontId="41" fillId="17" borderId="0" xfId="0" applyFont="1" applyFill="1"/>
    <xf numFmtId="164" fontId="41" fillId="4" borderId="9" xfId="0" applyNumberFormat="1" applyFont="1" applyFill="1" applyBorder="1"/>
    <xf numFmtId="1" fontId="41" fillId="17" borderId="9" xfId="0" applyNumberFormat="1" applyFont="1" applyFill="1" applyBorder="1"/>
    <xf numFmtId="164" fontId="47" fillId="17" borderId="9" xfId="0" applyNumberFormat="1" applyFont="1" applyFill="1" applyBorder="1"/>
    <xf numFmtId="164" fontId="41" fillId="17" borderId="9" xfId="0" applyNumberFormat="1" applyFont="1" applyFill="1" applyBorder="1"/>
    <xf numFmtId="0" fontId="41" fillId="31" borderId="0" xfId="0" applyFont="1" applyFill="1"/>
    <xf numFmtId="0" fontId="39" fillId="13" borderId="1" xfId="0" applyFont="1" applyFill="1" applyBorder="1"/>
    <xf numFmtId="1" fontId="39" fillId="13" borderId="1" xfId="0" applyNumberFormat="1" applyFont="1" applyFill="1" applyBorder="1"/>
    <xf numFmtId="164" fontId="39" fillId="13" borderId="1" xfId="0" applyNumberFormat="1" applyFont="1" applyFill="1" applyBorder="1"/>
    <xf numFmtId="2" fontId="39" fillId="13" borderId="1" xfId="0" applyNumberFormat="1" applyFont="1" applyFill="1" applyBorder="1"/>
    <xf numFmtId="0" fontId="39" fillId="13" borderId="0" xfId="0" applyFont="1" applyFill="1"/>
    <xf numFmtId="2" fontId="30" fillId="24" borderId="1" xfId="0" applyNumberFormat="1" applyFont="1" applyFill="1" applyBorder="1"/>
    <xf numFmtId="2" fontId="23" fillId="24" borderId="0" xfId="0" applyNumberFormat="1" applyFont="1" applyFill="1" applyBorder="1"/>
    <xf numFmtId="2" fontId="39" fillId="13" borderId="0" xfId="0" applyNumberFormat="1" applyFont="1" applyFill="1"/>
    <xf numFmtId="0" fontId="39" fillId="31" borderId="0" xfId="0" applyFont="1" applyFill="1"/>
    <xf numFmtId="0" fontId="23" fillId="17" borderId="1" xfId="0" applyFont="1" applyFill="1" applyBorder="1"/>
    <xf numFmtId="0" fontId="23" fillId="26" borderId="1" xfId="0" applyFont="1" applyFill="1" applyBorder="1"/>
    <xf numFmtId="0" fontId="48" fillId="26" borderId="1" xfId="0" applyFont="1" applyFill="1" applyBorder="1" applyProtection="1">
      <protection locked="0"/>
    </xf>
    <xf numFmtId="0" fontId="23" fillId="6" borderId="1" xfId="0" applyFont="1" applyFill="1" applyBorder="1"/>
    <xf numFmtId="164" fontId="23" fillId="0" borderId="1" xfId="0" applyNumberFormat="1" applyFont="1" applyBorder="1"/>
    <xf numFmtId="164" fontId="23" fillId="13" borderId="1" xfId="0" applyNumberFormat="1" applyFont="1" applyFill="1" applyBorder="1"/>
    <xf numFmtId="2" fontId="23" fillId="10" borderId="1" xfId="0" applyNumberFormat="1" applyFont="1" applyFill="1" applyBorder="1"/>
    <xf numFmtId="2" fontId="23" fillId="12" borderId="1" xfId="0" applyNumberFormat="1" applyFont="1" applyFill="1" applyBorder="1"/>
    <xf numFmtId="164" fontId="23" fillId="2" borderId="1" xfId="0" applyNumberFormat="1" applyFont="1" applyFill="1" applyBorder="1"/>
    <xf numFmtId="0" fontId="23" fillId="0" borderId="4" xfId="0" applyFont="1" applyBorder="1"/>
    <xf numFmtId="0" fontId="23" fillId="31" borderId="4" xfId="0" applyFont="1" applyFill="1" applyBorder="1"/>
    <xf numFmtId="0" fontId="23" fillId="0" borderId="0" xfId="0" applyFont="1" applyBorder="1"/>
    <xf numFmtId="0" fontId="23" fillId="31" borderId="0" xfId="0" applyFont="1" applyFill="1" applyBorder="1"/>
    <xf numFmtId="0" fontId="30" fillId="0" borderId="0" xfId="0" applyFont="1" applyAlignment="1">
      <alignment vertical="center"/>
    </xf>
    <xf numFmtId="0" fontId="23" fillId="28" borderId="4" xfId="0" applyFont="1" applyFill="1" applyBorder="1"/>
    <xf numFmtId="0" fontId="23" fillId="2" borderId="4" xfId="0" applyFont="1" applyFill="1" applyBorder="1"/>
    <xf numFmtId="0" fontId="36" fillId="28" borderId="4" xfId="0" applyFont="1" applyFill="1" applyBorder="1"/>
    <xf numFmtId="0" fontId="23" fillId="29" borderId="0" xfId="0" applyFont="1" applyFill="1"/>
    <xf numFmtId="0" fontId="36" fillId="29" borderId="0" xfId="0" applyFont="1" applyFill="1"/>
    <xf numFmtId="0" fontId="23" fillId="28" borderId="0" xfId="0" applyFont="1" applyFill="1"/>
    <xf numFmtId="0" fontId="23" fillId="23" borderId="0" xfId="0" applyFont="1" applyFill="1"/>
    <xf numFmtId="0" fontId="23" fillId="9" borderId="0" xfId="0" applyFont="1" applyFill="1"/>
    <xf numFmtId="0" fontId="23" fillId="10" borderId="0" xfId="0" applyFont="1" applyFill="1"/>
    <xf numFmtId="0" fontId="23" fillId="7" borderId="0" xfId="0" applyFont="1" applyFill="1"/>
    <xf numFmtId="0" fontId="23" fillId="27" borderId="1" xfId="0" applyFont="1" applyFill="1" applyBorder="1"/>
    <xf numFmtId="0" fontId="23" fillId="26" borderId="0" xfId="0" applyFont="1" applyFill="1"/>
    <xf numFmtId="0" fontId="23" fillId="5" borderId="0" xfId="0" applyFont="1" applyFill="1"/>
    <xf numFmtId="0" fontId="23" fillId="24" borderId="0" xfId="0" applyFont="1" applyFill="1"/>
    <xf numFmtId="2" fontId="23" fillId="16" borderId="1" xfId="0" applyNumberFormat="1" applyFont="1" applyFill="1" applyBorder="1"/>
    <xf numFmtId="0" fontId="23" fillId="34" borderId="1" xfId="0" applyFont="1" applyFill="1" applyBorder="1"/>
    <xf numFmtId="0" fontId="23" fillId="34" borderId="0" xfId="0" applyFont="1" applyFill="1"/>
    <xf numFmtId="2" fontId="23" fillId="14" borderId="1" xfId="0" applyNumberFormat="1" applyFont="1" applyFill="1" applyBorder="1"/>
    <xf numFmtId="0" fontId="27" fillId="0" borderId="0" xfId="0" applyFont="1"/>
    <xf numFmtId="0" fontId="23" fillId="28" borderId="1" xfId="0" applyFont="1" applyFill="1" applyBorder="1"/>
    <xf numFmtId="0" fontId="23" fillId="0" borderId="1" xfId="0" applyFont="1" applyBorder="1"/>
    <xf numFmtId="164" fontId="23" fillId="17" borderId="1" xfId="0" applyNumberFormat="1" applyFont="1" applyFill="1" applyBorder="1"/>
    <xf numFmtId="2" fontId="23" fillId="32" borderId="1" xfId="0" applyNumberFormat="1" applyFont="1" applyFill="1" applyBorder="1"/>
    <xf numFmtId="2" fontId="23" fillId="27" borderId="1" xfId="0" applyNumberFormat="1" applyFont="1" applyFill="1" applyBorder="1"/>
    <xf numFmtId="0" fontId="23" fillId="27" borderId="0" xfId="0" applyFont="1" applyFill="1"/>
    <xf numFmtId="2" fontId="23" fillId="0" borderId="0" xfId="0" applyNumberFormat="1" applyFont="1"/>
    <xf numFmtId="2" fontId="23" fillId="28" borderId="1" xfId="0" applyNumberFormat="1" applyFont="1" applyFill="1" applyBorder="1"/>
    <xf numFmtId="0" fontId="24" fillId="16" borderId="1" xfId="0" applyFont="1" applyFill="1" applyBorder="1"/>
    <xf numFmtId="0" fontId="23" fillId="16" borderId="1" xfId="0" applyFont="1" applyFill="1" applyBorder="1"/>
    <xf numFmtId="0" fontId="25" fillId="0" borderId="2" xfId="0" applyFont="1" applyFill="1" applyBorder="1" applyAlignment="1">
      <alignment horizontal="left" textRotation="90" wrapText="1"/>
    </xf>
    <xf numFmtId="0" fontId="23" fillId="26" borderId="2" xfId="0" applyFont="1" applyFill="1" applyBorder="1"/>
    <xf numFmtId="2" fontId="27" fillId="22" borderId="2" xfId="0" applyNumberFormat="1" applyFont="1" applyFill="1" applyBorder="1"/>
    <xf numFmtId="2" fontId="27" fillId="27" borderId="2" xfId="0" applyNumberFormat="1" applyFont="1" applyFill="1" applyBorder="1"/>
    <xf numFmtId="0" fontId="27" fillId="22" borderId="2" xfId="0" applyFont="1" applyFill="1" applyBorder="1"/>
    <xf numFmtId="0" fontId="24" fillId="0" borderId="0" xfId="0" applyFont="1" applyFill="1" applyBorder="1"/>
    <xf numFmtId="0" fontId="23" fillId="0" borderId="0" xfId="0" applyFont="1" applyFill="1" applyBorder="1"/>
    <xf numFmtId="0" fontId="23" fillId="0" borderId="0" xfId="0" applyFont="1" applyFill="1" applyBorder="1" applyAlignment="1">
      <alignment vertical="top"/>
    </xf>
    <xf numFmtId="0" fontId="41" fillId="0" borderId="0" xfId="0" applyFont="1" applyFill="1" applyBorder="1"/>
    <xf numFmtId="2" fontId="23" fillId="0" borderId="0" xfId="0" applyNumberFormat="1" applyFont="1" applyFill="1" applyBorder="1"/>
    <xf numFmtId="0" fontId="33" fillId="16" borderId="0" xfId="0" applyFont="1" applyFill="1" applyBorder="1"/>
    <xf numFmtId="0" fontId="36" fillId="16" borderId="0" xfId="0" applyFont="1" applyFill="1" applyBorder="1"/>
    <xf numFmtId="0" fontId="23" fillId="16" borderId="0" xfId="0" applyFont="1" applyFill="1" applyBorder="1"/>
    <xf numFmtId="0" fontId="36" fillId="16" borderId="0" xfId="0" applyFont="1" applyFill="1" applyBorder="1" applyAlignment="1">
      <alignment vertical="top"/>
    </xf>
    <xf numFmtId="0" fontId="44" fillId="16" borderId="0" xfId="0" applyFont="1" applyFill="1" applyBorder="1" applyAlignment="1">
      <alignment horizontal="left" textRotation="90" wrapText="1"/>
    </xf>
    <xf numFmtId="164" fontId="46" fillId="16" borderId="0" xfId="0" applyNumberFormat="1" applyFont="1" applyFill="1" applyBorder="1"/>
    <xf numFmtId="0" fontId="45" fillId="0" borderId="0" xfId="0" applyFont="1" applyFill="1" applyBorder="1" applyAlignment="1">
      <alignment horizontal="left" textRotation="90"/>
    </xf>
    <xf numFmtId="0" fontId="48" fillId="16" borderId="1" xfId="0" applyFont="1" applyFill="1" applyBorder="1" applyProtection="1">
      <protection locked="0"/>
    </xf>
    <xf numFmtId="0" fontId="39" fillId="3" borderId="1" xfId="0" applyFont="1" applyFill="1" applyBorder="1"/>
    <xf numFmtId="164" fontId="47" fillId="17" borderId="0" xfId="0" applyNumberFormat="1" applyFont="1" applyFill="1" applyBorder="1"/>
    <xf numFmtId="0" fontId="23" fillId="39" borderId="1" xfId="0" applyFont="1" applyFill="1" applyBorder="1"/>
    <xf numFmtId="164" fontId="23" fillId="39" borderId="1" xfId="0" applyNumberFormat="1" applyFont="1" applyFill="1" applyBorder="1"/>
    <xf numFmtId="0" fontId="23" fillId="21" borderId="2" xfId="0" applyFont="1" applyFill="1" applyBorder="1"/>
    <xf numFmtId="0" fontId="23" fillId="40" borderId="1" xfId="0" applyFont="1" applyFill="1" applyBorder="1"/>
    <xf numFmtId="164" fontId="23" fillId="41" borderId="1" xfId="0" applyNumberFormat="1" applyFont="1" applyFill="1" applyBorder="1"/>
    <xf numFmtId="0" fontId="54" fillId="0" borderId="1" xfId="0" applyFont="1" applyFill="1" applyBorder="1" applyAlignment="1">
      <alignment vertical="top" wrapText="1"/>
    </xf>
    <xf numFmtId="0" fontId="54" fillId="0" borderId="1" xfId="0" applyFont="1" applyFill="1" applyBorder="1" applyAlignment="1">
      <alignment horizontal="center" vertical="top" wrapText="1"/>
    </xf>
    <xf numFmtId="0" fontId="54" fillId="0" borderId="1" xfId="0" applyFont="1" applyFill="1" applyBorder="1" applyAlignment="1">
      <alignment horizontal="left" vertical="top" wrapText="1"/>
    </xf>
    <xf numFmtId="0" fontId="39" fillId="0" borderId="1" xfId="0" applyFont="1" applyFill="1" applyBorder="1"/>
    <xf numFmtId="0" fontId="25" fillId="0" borderId="1" xfId="0" applyFont="1" applyBorder="1" applyAlignment="1">
      <alignment horizontal="left"/>
    </xf>
    <xf numFmtId="0" fontId="25" fillId="0" borderId="0" xfId="0" applyFont="1"/>
    <xf numFmtId="0" fontId="24" fillId="2" borderId="0" xfId="0" applyFont="1" applyFill="1" applyBorder="1"/>
    <xf numFmtId="0" fontId="30" fillId="2" borderId="0" xfId="0" applyFont="1" applyFill="1" applyBorder="1" applyAlignment="1">
      <alignment horizontal="left" textRotation="90" wrapText="1"/>
    </xf>
    <xf numFmtId="0" fontId="23" fillId="2" borderId="0" xfId="0" applyFont="1" applyFill="1" applyBorder="1"/>
    <xf numFmtId="0" fontId="54" fillId="2" borderId="1" xfId="0" applyFont="1" applyFill="1" applyBorder="1" applyAlignment="1">
      <alignment horizontal="center" vertical="top" wrapText="1"/>
    </xf>
    <xf numFmtId="2" fontId="54" fillId="0" borderId="1" xfId="0" applyNumberFormat="1" applyFont="1" applyFill="1" applyBorder="1" applyAlignment="1">
      <alignment horizontal="center" vertical="top" wrapText="1"/>
    </xf>
    <xf numFmtId="0" fontId="55" fillId="10" borderId="0" xfId="0" applyFont="1" applyFill="1"/>
    <xf numFmtId="0" fontId="23" fillId="32" borderId="0" xfId="0" applyFont="1" applyFill="1"/>
    <xf numFmtId="2" fontId="27" fillId="32" borderId="2" xfId="0" applyNumberFormat="1" applyFont="1" applyFill="1" applyBorder="1"/>
    <xf numFmtId="0" fontId="56" fillId="16" borderId="0" xfId="0" applyFont="1" applyFill="1"/>
    <xf numFmtId="0" fontId="57" fillId="37" borderId="0" xfId="0" applyFont="1" applyFill="1"/>
    <xf numFmtId="0" fontId="57" fillId="0" borderId="0" xfId="0" applyFont="1"/>
    <xf numFmtId="0" fontId="58" fillId="0" borderId="0" xfId="0" applyFont="1"/>
    <xf numFmtId="0" fontId="60" fillId="0" borderId="0" xfId="1" applyFont="1" applyAlignment="1">
      <alignment vertical="top"/>
    </xf>
    <xf numFmtId="165" fontId="61" fillId="0" borderId="0" xfId="0" applyNumberFormat="1" applyFont="1"/>
    <xf numFmtId="165" fontId="62" fillId="0" borderId="0" xfId="0" applyNumberFormat="1" applyFont="1"/>
    <xf numFmtId="0" fontId="58" fillId="0" borderId="1" xfId="0" applyFont="1" applyBorder="1"/>
    <xf numFmtId="0" fontId="58" fillId="15" borderId="1" xfId="0" applyFont="1" applyFill="1" applyBorder="1"/>
    <xf numFmtId="0" fontId="66" fillId="4" borderId="0" xfId="0" applyFont="1" applyFill="1"/>
    <xf numFmtId="0" fontId="58" fillId="31" borderId="0" xfId="0" applyFont="1" applyFill="1"/>
    <xf numFmtId="0" fontId="58" fillId="31" borderId="1" xfId="0" applyFont="1" applyFill="1" applyBorder="1"/>
    <xf numFmtId="0" fontId="58" fillId="0" borderId="11" xfId="0" applyFont="1" applyBorder="1"/>
    <xf numFmtId="0" fontId="58" fillId="0" borderId="1" xfId="0" applyFont="1" applyFill="1" applyBorder="1" applyAlignment="1">
      <alignment horizontal="left" textRotation="90" wrapText="1"/>
    </xf>
    <xf numFmtId="0" fontId="59" fillId="16" borderId="1" xfId="0" applyFont="1" applyFill="1" applyBorder="1" applyAlignment="1">
      <alignment horizontal="left" textRotation="90" wrapText="1"/>
    </xf>
    <xf numFmtId="0" fontId="58" fillId="39" borderId="1" xfId="0" applyFont="1" applyFill="1" applyBorder="1" applyAlignment="1">
      <alignment horizontal="left" textRotation="90" wrapText="1"/>
    </xf>
    <xf numFmtId="0" fontId="58" fillId="12" borderId="0" xfId="0" applyFont="1" applyFill="1" applyBorder="1"/>
    <xf numFmtId="0" fontId="59" fillId="12" borderId="0" xfId="0" applyFont="1" applyFill="1" applyBorder="1"/>
    <xf numFmtId="0" fontId="58" fillId="31" borderId="0" xfId="0" applyFont="1" applyFill="1" applyBorder="1"/>
    <xf numFmtId="0" fontId="59" fillId="31" borderId="0" xfId="0" applyFont="1" applyFill="1" applyBorder="1"/>
    <xf numFmtId="164" fontId="67" fillId="31" borderId="0" xfId="0" applyNumberFormat="1" applyFont="1" applyFill="1" applyBorder="1"/>
    <xf numFmtId="0" fontId="58" fillId="13" borderId="9" xfId="0" applyFont="1" applyFill="1" applyBorder="1"/>
    <xf numFmtId="164" fontId="59" fillId="35" borderId="1" xfId="0" applyNumberFormat="1" applyFont="1" applyFill="1" applyBorder="1"/>
    <xf numFmtId="2" fontId="59" fillId="36" borderId="9" xfId="0" applyNumberFormat="1" applyFont="1" applyFill="1" applyBorder="1"/>
    <xf numFmtId="164" fontId="59" fillId="36" borderId="9" xfId="0" applyNumberFormat="1" applyFont="1" applyFill="1" applyBorder="1"/>
    <xf numFmtId="1" fontId="59" fillId="3" borderId="9" xfId="0" applyNumberFormat="1" applyFont="1" applyFill="1" applyBorder="1"/>
    <xf numFmtId="2" fontId="59" fillId="3" borderId="9" xfId="0" applyNumberFormat="1" applyFont="1" applyFill="1" applyBorder="1"/>
    <xf numFmtId="1" fontId="59" fillId="36" borderId="9" xfId="0" applyNumberFormat="1" applyFont="1" applyFill="1" applyBorder="1"/>
    <xf numFmtId="0" fontId="58" fillId="32" borderId="1" xfId="0" applyFont="1" applyFill="1" applyBorder="1"/>
    <xf numFmtId="0" fontId="58" fillId="12" borderId="1" xfId="0" applyFont="1" applyFill="1" applyBorder="1" applyAlignment="1">
      <alignment horizontal="left" textRotation="90" wrapText="1"/>
    </xf>
    <xf numFmtId="0" fontId="68" fillId="0" borderId="0" xfId="0" applyFont="1"/>
    <xf numFmtId="0" fontId="60" fillId="0" borderId="0" xfId="1" applyFont="1"/>
    <xf numFmtId="165" fontId="67" fillId="0" borderId="0" xfId="0" applyNumberFormat="1" applyFont="1"/>
    <xf numFmtId="0" fontId="58" fillId="0" borderId="1" xfId="0" applyFont="1" applyFill="1" applyBorder="1"/>
    <xf numFmtId="165" fontId="70" fillId="4" borderId="0" xfId="0" applyNumberFormat="1" applyFont="1" applyFill="1"/>
    <xf numFmtId="0" fontId="71" fillId="0" borderId="1" xfId="0" applyFont="1" applyFill="1" applyBorder="1" applyAlignment="1">
      <alignment horizontal="left" textRotation="90" wrapText="1"/>
    </xf>
    <xf numFmtId="0" fontId="71" fillId="0" borderId="0" xfId="0" applyFont="1"/>
    <xf numFmtId="0" fontId="59" fillId="0" borderId="0" xfId="0" applyFont="1"/>
    <xf numFmtId="0" fontId="73" fillId="0" borderId="0" xfId="1" applyFont="1" applyAlignment="1">
      <alignment vertical="top"/>
    </xf>
    <xf numFmtId="0" fontId="73" fillId="0" borderId="0" xfId="1" applyFont="1"/>
    <xf numFmtId="0" fontId="64" fillId="0" borderId="0" xfId="0" applyFont="1"/>
    <xf numFmtId="0" fontId="64" fillId="32" borderId="0" xfId="0" applyFont="1" applyFill="1"/>
    <xf numFmtId="166" fontId="45" fillId="0" borderId="0" xfId="0" applyNumberFormat="1" applyFont="1" applyAlignment="1">
      <alignment horizontal="right"/>
    </xf>
    <xf numFmtId="0" fontId="49" fillId="0" borderId="0" xfId="0" applyFont="1" applyBorder="1" applyAlignment="1">
      <alignment horizontal="center"/>
    </xf>
    <xf numFmtId="0" fontId="23" fillId="0" borderId="1" xfId="0" applyFont="1" applyFill="1" applyBorder="1" applyAlignment="1">
      <alignment horizontal="left" vertical="top" wrapText="1"/>
    </xf>
    <xf numFmtId="0" fontId="23" fillId="0" borderId="0" xfId="0" applyFont="1" applyFill="1" applyBorder="1" applyAlignment="1">
      <alignment horizontal="left" vertical="top" wrapText="1"/>
    </xf>
    <xf numFmtId="0" fontId="23" fillId="0" borderId="1" xfId="0" applyFont="1" applyFill="1" applyBorder="1" applyAlignment="1">
      <alignment horizontal="center" vertical="center" wrapText="1"/>
    </xf>
    <xf numFmtId="0" fontId="45" fillId="39" borderId="1" xfId="0" applyFont="1" applyFill="1" applyBorder="1"/>
    <xf numFmtId="0" fontId="23" fillId="39" borderId="0" xfId="0" applyFont="1" applyFill="1" applyBorder="1"/>
    <xf numFmtId="2" fontId="49" fillId="0" borderId="1" xfId="0" applyNumberFormat="1" applyFont="1" applyFill="1" applyBorder="1" applyAlignment="1">
      <alignment horizontal="left" vertical="top" wrapText="1"/>
    </xf>
    <xf numFmtId="164" fontId="49" fillId="0" borderId="1" xfId="0" applyNumberFormat="1" applyFont="1" applyFill="1" applyBorder="1" applyAlignment="1">
      <alignment horizontal="center" vertical="top" wrapText="1"/>
    </xf>
    <xf numFmtId="0" fontId="49" fillId="0" borderId="1" xfId="0" applyFont="1" applyFill="1" applyBorder="1" applyAlignment="1">
      <alignment vertical="top" wrapText="1"/>
    </xf>
    <xf numFmtId="0" fontId="49" fillId="0" borderId="1" xfId="0" applyFont="1" applyFill="1" applyBorder="1" applyAlignment="1">
      <alignment horizontal="center" vertical="top" wrapText="1"/>
    </xf>
    <xf numFmtId="0" fontId="23" fillId="12" borderId="1" xfId="0" applyFont="1" applyFill="1" applyBorder="1"/>
    <xf numFmtId="0" fontId="23" fillId="12" borderId="0" xfId="0" applyFont="1" applyFill="1" applyBorder="1"/>
    <xf numFmtId="0" fontId="34" fillId="0" borderId="0" xfId="0" applyFont="1"/>
    <xf numFmtId="0" fontId="75" fillId="39" borderId="1" xfId="0" applyFont="1" applyFill="1" applyBorder="1" applyAlignment="1">
      <alignment vertical="top" wrapText="1"/>
    </xf>
    <xf numFmtId="0" fontId="75" fillId="39" borderId="1" xfId="0" applyFont="1" applyFill="1" applyBorder="1"/>
    <xf numFmtId="0" fontId="75" fillId="39" borderId="0" xfId="0" applyFont="1" applyFill="1" applyBorder="1"/>
    <xf numFmtId="0" fontId="75" fillId="11" borderId="1" xfId="0" applyFont="1" applyFill="1" applyBorder="1"/>
    <xf numFmtId="0" fontId="75" fillId="11" borderId="0" xfId="0" applyFont="1" applyFill="1" applyBorder="1"/>
    <xf numFmtId="0" fontId="49" fillId="0" borderId="1" xfId="0" applyFont="1" applyBorder="1" applyAlignment="1">
      <alignment horizontal="center"/>
    </xf>
    <xf numFmtId="0" fontId="39" fillId="13" borderId="1" xfId="0" applyFont="1" applyFill="1" applyBorder="1" applyAlignment="1">
      <alignment horizontal="left" vertical="top"/>
    </xf>
    <xf numFmtId="0" fontId="39" fillId="13" borderId="0" xfId="0" applyFont="1" applyFill="1" applyBorder="1" applyAlignment="1">
      <alignment horizontal="left" vertical="top"/>
    </xf>
    <xf numFmtId="0" fontId="77" fillId="0" borderId="0" xfId="0" applyFont="1" applyAlignment="1">
      <alignment horizontal="right"/>
    </xf>
    <xf numFmtId="0" fontId="77" fillId="0" borderId="1" xfId="0" applyFont="1" applyBorder="1"/>
    <xf numFmtId="0" fontId="77" fillId="0" borderId="0" xfId="0" applyFont="1"/>
    <xf numFmtId="0" fontId="78" fillId="16" borderId="0" xfId="0" applyFont="1" applyFill="1"/>
    <xf numFmtId="0" fontId="57" fillId="16" borderId="0" xfId="0" applyFont="1" applyFill="1"/>
    <xf numFmtId="0" fontId="57" fillId="0" borderId="0" xfId="0" applyFont="1" applyFill="1"/>
    <xf numFmtId="0" fontId="58" fillId="32" borderId="0" xfId="0" applyFont="1" applyFill="1"/>
    <xf numFmtId="0" fontId="79" fillId="0" borderId="0" xfId="0" applyFont="1"/>
    <xf numFmtId="0" fontId="79" fillId="16" borderId="0" xfId="0" applyFont="1" applyFill="1" applyBorder="1"/>
    <xf numFmtId="0" fontId="57" fillId="31" borderId="0" xfId="0" applyFont="1" applyFill="1"/>
    <xf numFmtId="0" fontId="58" fillId="0" borderId="0" xfId="0" applyFont="1" applyFill="1" applyBorder="1"/>
    <xf numFmtId="0" fontId="57" fillId="0" borderId="0" xfId="0" applyFont="1" applyFill="1" applyBorder="1"/>
    <xf numFmtId="0" fontId="81" fillId="16" borderId="0" xfId="0" applyFont="1" applyFill="1"/>
    <xf numFmtId="0" fontId="58" fillId="16" borderId="0" xfId="0" applyFont="1" applyFill="1"/>
    <xf numFmtId="0" fontId="58" fillId="0" borderId="0" xfId="0" applyFont="1" applyFill="1"/>
    <xf numFmtId="0" fontId="58" fillId="2" borderId="0" xfId="0" applyFont="1" applyFill="1"/>
    <xf numFmtId="0" fontId="63" fillId="0" borderId="0" xfId="0" applyFont="1" applyAlignment="1">
      <alignment horizontal="right"/>
    </xf>
    <xf numFmtId="0" fontId="66" fillId="0" borderId="0" xfId="0" applyFont="1"/>
    <xf numFmtId="0" fontId="66" fillId="16" borderId="0" xfId="0" applyFont="1" applyFill="1" applyBorder="1"/>
    <xf numFmtId="164" fontId="58" fillId="0" borderId="0" xfId="0" applyNumberFormat="1" applyFont="1"/>
    <xf numFmtId="0" fontId="58" fillId="23" borderId="0" xfId="0" applyFont="1" applyFill="1"/>
    <xf numFmtId="165" fontId="67" fillId="2" borderId="0" xfId="0" applyNumberFormat="1" applyFont="1" applyFill="1"/>
    <xf numFmtId="0" fontId="86" fillId="33" borderId="0" xfId="0" applyFont="1" applyFill="1" applyBorder="1" applyAlignment="1">
      <alignment horizontal="left"/>
    </xf>
    <xf numFmtId="0" fontId="58" fillId="33" borderId="0" xfId="0" applyFont="1" applyFill="1"/>
    <xf numFmtId="0" fontId="58" fillId="0" borderId="0" xfId="0" applyFont="1" applyAlignment="1">
      <alignment vertical="top"/>
    </xf>
    <xf numFmtId="0" fontId="66" fillId="16" borderId="0" xfId="0" applyFont="1" applyFill="1" applyBorder="1" applyAlignment="1">
      <alignment vertical="top"/>
    </xf>
    <xf numFmtId="0" fontId="58" fillId="31" borderId="0" xfId="0" applyFont="1" applyFill="1" applyAlignment="1">
      <alignment vertical="top"/>
    </xf>
    <xf numFmtId="0" fontId="86" fillId="22" borderId="0" xfId="0" applyFont="1" applyFill="1" applyBorder="1" applyAlignment="1">
      <alignment horizontal="left" textRotation="90" wrapText="1"/>
    </xf>
    <xf numFmtId="0" fontId="58" fillId="33" borderId="0" xfId="0" applyFont="1" applyFill="1" applyAlignment="1">
      <alignment vertical="top"/>
    </xf>
    <xf numFmtId="0" fontId="58" fillId="17" borderId="0" xfId="0" applyFont="1" applyFill="1" applyAlignment="1">
      <alignment vertical="top"/>
    </xf>
    <xf numFmtId="0" fontId="63" fillId="0" borderId="0" xfId="0" applyFont="1" applyFill="1" applyBorder="1" applyAlignment="1">
      <alignment horizontal="left" textRotation="90"/>
    </xf>
    <xf numFmtId="0" fontId="58" fillId="0" borderId="0" xfId="0" applyFont="1" applyFill="1" applyBorder="1" applyAlignment="1">
      <alignment vertical="top"/>
    </xf>
    <xf numFmtId="0" fontId="58" fillId="4" borderId="1" xfId="0" applyFont="1" applyFill="1" applyBorder="1"/>
    <xf numFmtId="0" fontId="58" fillId="18" borderId="1" xfId="0" applyFont="1" applyFill="1" applyBorder="1"/>
    <xf numFmtId="2" fontId="58" fillId="18" borderId="1" xfId="0" applyNumberFormat="1" applyFont="1" applyFill="1" applyBorder="1"/>
    <xf numFmtId="0" fontId="58" fillId="18" borderId="0" xfId="0" applyFont="1" applyFill="1"/>
    <xf numFmtId="164" fontId="58" fillId="18" borderId="1" xfId="0" applyNumberFormat="1" applyFont="1" applyFill="1" applyBorder="1"/>
    <xf numFmtId="0" fontId="58" fillId="14" borderId="1" xfId="0" applyFont="1" applyFill="1" applyBorder="1"/>
    <xf numFmtId="164" fontId="58" fillId="14" borderId="1" xfId="0" applyNumberFormat="1" applyFont="1" applyFill="1" applyBorder="1"/>
    <xf numFmtId="0" fontId="58" fillId="14" borderId="0" xfId="0" applyFont="1" applyFill="1"/>
    <xf numFmtId="164" fontId="58" fillId="32" borderId="1" xfId="0" applyNumberFormat="1" applyFont="1" applyFill="1" applyBorder="1"/>
    <xf numFmtId="164" fontId="58" fillId="0" borderId="1" xfId="0" applyNumberFormat="1" applyFont="1" applyFill="1" applyBorder="1"/>
    <xf numFmtId="0" fontId="58" fillId="0" borderId="4" xfId="0" applyFont="1" applyBorder="1"/>
    <xf numFmtId="0" fontId="58" fillId="31" borderId="4" xfId="0" applyFont="1" applyFill="1" applyBorder="1"/>
    <xf numFmtId="0" fontId="86" fillId="0" borderId="0" xfId="0" applyFont="1" applyAlignment="1">
      <alignment vertical="center"/>
    </xf>
    <xf numFmtId="0" fontId="58" fillId="28" borderId="4" xfId="0" applyFont="1" applyFill="1" applyBorder="1"/>
    <xf numFmtId="0" fontId="66" fillId="28" borderId="4" xfId="0" applyFont="1" applyFill="1" applyBorder="1"/>
    <xf numFmtId="0" fontId="58" fillId="29" borderId="0" xfId="0" applyFont="1" applyFill="1"/>
    <xf numFmtId="0" fontId="66" fillId="29" borderId="0" xfId="0" applyFont="1" applyFill="1"/>
    <xf numFmtId="0" fontId="58" fillId="28" borderId="0" xfId="0" applyFont="1" applyFill="1"/>
    <xf numFmtId="0" fontId="58" fillId="8" borderId="0" xfId="0" applyFont="1" applyFill="1"/>
    <xf numFmtId="0" fontId="58" fillId="9" borderId="0" xfId="0" applyFont="1" applyFill="1"/>
    <xf numFmtId="0" fontId="58" fillId="7" borderId="0" xfId="0" applyFont="1" applyFill="1"/>
    <xf numFmtId="0" fontId="58" fillId="27" borderId="1" xfId="0" applyFont="1" applyFill="1" applyBorder="1"/>
    <xf numFmtId="0" fontId="58" fillId="26" borderId="0" xfId="0" applyFont="1" applyFill="1"/>
    <xf numFmtId="0" fontId="58" fillId="5" borderId="0" xfId="0" applyFont="1" applyFill="1"/>
    <xf numFmtId="0" fontId="58" fillId="24" borderId="0" xfId="0" applyFont="1" applyFill="1"/>
    <xf numFmtId="2" fontId="89" fillId="22" borderId="2" xfId="0" applyNumberFormat="1" applyFont="1" applyFill="1" applyBorder="1"/>
    <xf numFmtId="2" fontId="58" fillId="28" borderId="1" xfId="0" applyNumberFormat="1" applyFont="1" applyFill="1" applyBorder="1"/>
    <xf numFmtId="2" fontId="89" fillId="27" borderId="2" xfId="0" applyNumberFormat="1" applyFont="1" applyFill="1" applyBorder="1"/>
    <xf numFmtId="2" fontId="58" fillId="14" borderId="1" xfId="0" applyNumberFormat="1" applyFont="1" applyFill="1" applyBorder="1"/>
    <xf numFmtId="0" fontId="89" fillId="0" borderId="0" xfId="0" applyFont="1"/>
    <xf numFmtId="0" fontId="58" fillId="28" borderId="1" xfId="0" applyFont="1" applyFill="1" applyBorder="1"/>
    <xf numFmtId="165" fontId="89" fillId="32" borderId="2" xfId="0" applyNumberFormat="1" applyFont="1" applyFill="1" applyBorder="1"/>
    <xf numFmtId="0" fontId="58" fillId="27" borderId="0" xfId="0" applyFont="1" applyFill="1"/>
    <xf numFmtId="0" fontId="58" fillId="30" borderId="0" xfId="0" applyFont="1" applyFill="1"/>
    <xf numFmtId="0" fontId="66" fillId="30" borderId="0" xfId="0" applyFont="1" applyFill="1"/>
    <xf numFmtId="0" fontId="66" fillId="30" borderId="0" xfId="0" applyFont="1" applyFill="1" applyBorder="1"/>
    <xf numFmtId="0" fontId="58" fillId="30" borderId="0" xfId="0" applyFont="1" applyFill="1" applyBorder="1"/>
    <xf numFmtId="0" fontId="71" fillId="18" borderId="1" xfId="0" applyFont="1" applyFill="1" applyBorder="1" applyAlignment="1">
      <alignment horizontal="left" textRotation="90" wrapText="1"/>
    </xf>
    <xf numFmtId="0" fontId="71" fillId="31" borderId="0" xfId="0" applyFont="1" applyFill="1"/>
    <xf numFmtId="0" fontId="71" fillId="20" borderId="1" xfId="0" applyFont="1" applyFill="1" applyBorder="1"/>
    <xf numFmtId="0" fontId="71" fillId="18" borderId="1" xfId="0" applyFont="1" applyFill="1" applyBorder="1"/>
    <xf numFmtId="0" fontId="71" fillId="31" borderId="1" xfId="0" applyFont="1" applyFill="1" applyBorder="1"/>
    <xf numFmtId="0" fontId="91" fillId="16" borderId="0" xfId="0" applyFont="1" applyFill="1" applyBorder="1"/>
    <xf numFmtId="0" fontId="71" fillId="0" borderId="0" xfId="0" applyFont="1" applyFill="1" applyBorder="1"/>
    <xf numFmtId="2" fontId="71" fillId="18" borderId="1" xfId="0" applyNumberFormat="1" applyFont="1" applyFill="1" applyBorder="1"/>
    <xf numFmtId="2" fontId="71" fillId="31" borderId="1" xfId="0" applyNumberFormat="1" applyFont="1" applyFill="1" applyBorder="1"/>
    <xf numFmtId="0" fontId="71" fillId="18" borderId="0" xfId="0" applyFont="1" applyFill="1"/>
    <xf numFmtId="164" fontId="71" fillId="18" borderId="1" xfId="0" applyNumberFormat="1" applyFont="1" applyFill="1" applyBorder="1"/>
    <xf numFmtId="0" fontId="71" fillId="14" borderId="1" xfId="0" applyFont="1" applyFill="1" applyBorder="1"/>
    <xf numFmtId="164" fontId="71" fillId="14" borderId="1" xfId="0" applyNumberFormat="1" applyFont="1" applyFill="1" applyBorder="1"/>
    <xf numFmtId="0" fontId="71" fillId="14" borderId="0" xfId="0" applyFont="1" applyFill="1"/>
    <xf numFmtId="0" fontId="71" fillId="19" borderId="1" xfId="0" applyFont="1" applyFill="1" applyBorder="1"/>
    <xf numFmtId="0" fontId="71" fillId="19" borderId="0" xfId="0" applyFont="1" applyFill="1"/>
    <xf numFmtId="0" fontId="93" fillId="17" borderId="0" xfId="0" applyFont="1" applyFill="1"/>
    <xf numFmtId="0" fontId="93" fillId="31" borderId="0" xfId="0" applyFont="1" applyFill="1"/>
    <xf numFmtId="0" fontId="93" fillId="0" borderId="0" xfId="0" applyFont="1" applyFill="1" applyBorder="1"/>
    <xf numFmtId="164" fontId="71" fillId="3" borderId="1" xfId="0" applyNumberFormat="1" applyFont="1" applyFill="1" applyBorder="1"/>
    <xf numFmtId="164" fontId="63" fillId="13" borderId="1" xfId="0" applyNumberFormat="1" applyFont="1" applyFill="1" applyBorder="1"/>
    <xf numFmtId="2" fontId="63" fillId="13" borderId="1" xfId="0" applyNumberFormat="1" applyFont="1" applyFill="1" applyBorder="1"/>
    <xf numFmtId="0" fontId="63" fillId="13" borderId="0" xfId="0" applyFont="1" applyFill="1"/>
    <xf numFmtId="2" fontId="63" fillId="24" borderId="1" xfId="0" applyNumberFormat="1" applyFont="1" applyFill="1" applyBorder="1"/>
    <xf numFmtId="2" fontId="63" fillId="13" borderId="0" xfId="0" applyNumberFormat="1" applyFont="1" applyFill="1"/>
    <xf numFmtId="0" fontId="63" fillId="0" borderId="1" xfId="0" applyFont="1" applyFill="1" applyBorder="1"/>
    <xf numFmtId="2" fontId="71" fillId="0" borderId="0" xfId="0" applyNumberFormat="1" applyFont="1" applyFill="1" applyBorder="1"/>
    <xf numFmtId="0" fontId="71" fillId="35" borderId="1" xfId="0" applyFont="1" applyFill="1" applyBorder="1"/>
    <xf numFmtId="0" fontId="71" fillId="17" borderId="1" xfId="0" applyFont="1" applyFill="1" applyBorder="1"/>
    <xf numFmtId="0" fontId="94" fillId="16" borderId="1" xfId="0" applyFont="1" applyFill="1" applyBorder="1" applyProtection="1">
      <protection locked="0"/>
    </xf>
    <xf numFmtId="164" fontId="71" fillId="0" borderId="1" xfId="0" applyNumberFormat="1" applyFont="1" applyFill="1" applyBorder="1"/>
    <xf numFmtId="2" fontId="71" fillId="12" borderId="1" xfId="0" applyNumberFormat="1" applyFont="1" applyFill="1" applyBorder="1"/>
    <xf numFmtId="0" fontId="71" fillId="0" borderId="4" xfId="0" applyFont="1" applyBorder="1"/>
    <xf numFmtId="0" fontId="71" fillId="0" borderId="0" xfId="0" applyFont="1" applyBorder="1"/>
    <xf numFmtId="2" fontId="92" fillId="32" borderId="1" xfId="0" applyNumberFormat="1" applyFont="1" applyFill="1" applyBorder="1"/>
    <xf numFmtId="0" fontId="81" fillId="16" borderId="4" xfId="0" applyFont="1" applyFill="1" applyBorder="1"/>
    <xf numFmtId="0" fontId="58" fillId="16" borderId="4" xfId="0" applyFont="1" applyFill="1" applyBorder="1"/>
    <xf numFmtId="0" fontId="82" fillId="0" borderId="4" xfId="0" applyFont="1" applyFill="1" applyBorder="1" applyAlignment="1">
      <alignment horizontal="right"/>
    </xf>
    <xf numFmtId="0" fontId="58" fillId="0" borderId="4" xfId="0" applyFont="1" applyFill="1" applyBorder="1"/>
    <xf numFmtId="0" fontId="66" fillId="0" borderId="4" xfId="0" applyFont="1" applyBorder="1"/>
    <xf numFmtId="0" fontId="66" fillId="16" borderId="4" xfId="0" applyFont="1" applyFill="1" applyBorder="1"/>
    <xf numFmtId="0" fontId="59" fillId="17" borderId="4" xfId="0" applyFont="1" applyFill="1" applyBorder="1"/>
    <xf numFmtId="0" fontId="59" fillId="12" borderId="4" xfId="0" applyFont="1" applyFill="1" applyBorder="1"/>
    <xf numFmtId="0" fontId="34" fillId="16" borderId="4" xfId="0" applyFont="1" applyFill="1" applyBorder="1"/>
    <xf numFmtId="0" fontId="23" fillId="16" borderId="4" xfId="0" applyFont="1" applyFill="1" applyBorder="1"/>
    <xf numFmtId="0" fontId="38" fillId="0" borderId="4" xfId="0" applyFont="1" applyFill="1" applyBorder="1" applyAlignment="1">
      <alignment horizontal="right"/>
    </xf>
    <xf numFmtId="0" fontId="23" fillId="0" borderId="4" xfId="0" applyFont="1" applyFill="1" applyBorder="1"/>
    <xf numFmtId="0" fontId="25" fillId="0" borderId="4" xfId="0" applyFont="1" applyFill="1" applyBorder="1"/>
    <xf numFmtId="165" fontId="40" fillId="0" borderId="4" xfId="0" applyNumberFormat="1" applyFont="1" applyBorder="1"/>
    <xf numFmtId="0" fontId="36" fillId="0" borderId="4" xfId="0" applyFont="1" applyBorder="1"/>
    <xf numFmtId="0" fontId="36" fillId="16" borderId="4" xfId="0" applyFont="1" applyFill="1" applyBorder="1"/>
    <xf numFmtId="0" fontId="39" fillId="17" borderId="4" xfId="0" applyFont="1" applyFill="1" applyBorder="1"/>
    <xf numFmtId="0" fontId="39" fillId="12" borderId="4" xfId="0" applyFont="1" applyFill="1" applyBorder="1"/>
    <xf numFmtId="0" fontId="97" fillId="16" borderId="0" xfId="0" applyFont="1" applyFill="1"/>
    <xf numFmtId="165" fontId="40" fillId="0" borderId="0" xfId="0" applyNumberFormat="1" applyFont="1" applyFill="1"/>
    <xf numFmtId="165" fontId="43" fillId="0" borderId="0" xfId="0" applyNumberFormat="1" applyFont="1" applyFill="1"/>
    <xf numFmtId="2" fontId="59" fillId="36" borderId="12" xfId="0" applyNumberFormat="1" applyFont="1" applyFill="1" applyBorder="1"/>
    <xf numFmtId="0" fontId="58" fillId="0" borderId="9" xfId="0" applyFont="1" applyBorder="1"/>
    <xf numFmtId="0" fontId="58" fillId="0" borderId="17" xfId="0" applyFont="1" applyBorder="1"/>
    <xf numFmtId="0" fontId="58" fillId="0" borderId="18" xfId="0" applyFont="1" applyBorder="1"/>
    <xf numFmtId="0" fontId="58" fillId="0" borderId="0" xfId="0" applyFont="1" applyBorder="1"/>
    <xf numFmtId="0" fontId="58" fillId="0" borderId="21" xfId="0" applyFont="1" applyBorder="1"/>
    <xf numFmtId="2" fontId="59" fillId="36" borderId="22" xfId="0" applyNumberFormat="1" applyFont="1" applyFill="1" applyBorder="1"/>
    <xf numFmtId="164" fontId="59" fillId="36" borderId="22" xfId="0" applyNumberFormat="1" applyFont="1" applyFill="1" applyBorder="1"/>
    <xf numFmtId="1" fontId="58" fillId="0" borderId="0" xfId="0" applyNumberFormat="1" applyFont="1"/>
    <xf numFmtId="2" fontId="28" fillId="32" borderId="1" xfId="0" applyNumberFormat="1" applyFont="1" applyFill="1" applyBorder="1"/>
    <xf numFmtId="0" fontId="49" fillId="0" borderId="1" xfId="0" applyFont="1" applyBorder="1" applyAlignment="1"/>
    <xf numFmtId="0" fontId="45" fillId="13" borderId="1" xfId="0" applyFont="1" applyFill="1" applyBorder="1"/>
    <xf numFmtId="164" fontId="63" fillId="30" borderId="1" xfId="0" applyNumberFormat="1" applyFont="1" applyFill="1" applyBorder="1"/>
    <xf numFmtId="2" fontId="23" fillId="6" borderId="1" xfId="0" applyNumberFormat="1" applyFont="1" applyFill="1" applyBorder="1"/>
    <xf numFmtId="0" fontId="58" fillId="0" borderId="1" xfId="0" applyFont="1" applyBorder="1" applyAlignment="1">
      <alignment horizontal="center" vertical="top" wrapText="1"/>
    </xf>
    <xf numFmtId="0" fontId="58" fillId="12" borderId="1" xfId="0" applyFont="1" applyFill="1" applyBorder="1"/>
    <xf numFmtId="0" fontId="58" fillId="0" borderId="9" xfId="0" applyFont="1" applyFill="1" applyBorder="1" applyAlignment="1">
      <alignment vertical="top" wrapText="1"/>
    </xf>
    <xf numFmtId="0" fontId="94" fillId="0" borderId="1" xfId="0" applyFont="1" applyFill="1" applyBorder="1" applyAlignment="1">
      <alignment horizontal="center" textRotation="90" wrapText="1"/>
    </xf>
    <xf numFmtId="0" fontId="103" fillId="0" borderId="0" xfId="0" applyFont="1"/>
    <xf numFmtId="0" fontId="104" fillId="0" borderId="0" xfId="0" applyFont="1" applyBorder="1"/>
    <xf numFmtId="2" fontId="39" fillId="45" borderId="1" xfId="0" applyNumberFormat="1" applyFont="1" applyFill="1" applyBorder="1"/>
    <xf numFmtId="1" fontId="39" fillId="45" borderId="1" xfId="0" applyNumberFormat="1" applyFont="1" applyFill="1" applyBorder="1"/>
    <xf numFmtId="0" fontId="23" fillId="0" borderId="1" xfId="0" applyFont="1" applyFill="1" applyBorder="1" applyAlignment="1">
      <alignment horizontal="center" vertical="top" wrapText="1"/>
    </xf>
    <xf numFmtId="0" fontId="49" fillId="0" borderId="1" xfId="0" applyFont="1" applyBorder="1" applyAlignment="1">
      <alignment horizontal="center"/>
    </xf>
    <xf numFmtId="0" fontId="23" fillId="39" borderId="1" xfId="0" applyFont="1" applyFill="1" applyBorder="1" applyAlignment="1">
      <alignment horizontal="center"/>
    </xf>
    <xf numFmtId="0" fontId="23" fillId="12" borderId="1" xfId="0" applyFont="1" applyFill="1" applyBorder="1" applyAlignment="1">
      <alignment horizontal="center"/>
    </xf>
    <xf numFmtId="0" fontId="75" fillId="39" borderId="1" xfId="0" applyFont="1" applyFill="1" applyBorder="1" applyAlignment="1">
      <alignment horizontal="center"/>
    </xf>
    <xf numFmtId="0" fontId="75" fillId="11" borderId="1" xfId="0" applyFont="1" applyFill="1" applyBorder="1" applyAlignment="1">
      <alignment horizontal="center"/>
    </xf>
    <xf numFmtId="0" fontId="34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39" fillId="13" borderId="1" xfId="0" applyFont="1" applyFill="1" applyBorder="1" applyAlignment="1">
      <alignment horizontal="center" vertical="top"/>
    </xf>
    <xf numFmtId="164" fontId="59" fillId="36" borderId="1" xfId="0" applyNumberFormat="1" applyFont="1" applyFill="1" applyBorder="1"/>
    <xf numFmtId="0" fontId="57" fillId="2" borderId="0" xfId="0" applyFont="1" applyFill="1"/>
    <xf numFmtId="0" fontId="58" fillId="15" borderId="0" xfId="0" applyFont="1" applyFill="1"/>
    <xf numFmtId="0" fontId="58" fillId="17" borderId="0" xfId="0" applyFont="1" applyFill="1"/>
    <xf numFmtId="0" fontId="0" fillId="32" borderId="0" xfId="0" applyFill="1"/>
    <xf numFmtId="0" fontId="76" fillId="2" borderId="0" xfId="0" applyFont="1" applyFill="1" applyBorder="1" applyAlignment="1">
      <alignment horizontal="left"/>
    </xf>
    <xf numFmtId="0" fontId="66" fillId="2" borderId="0" xfId="0" applyFont="1" applyFill="1"/>
    <xf numFmtId="0" fontId="58" fillId="2" borderId="0" xfId="0" applyFont="1" applyFill="1" applyBorder="1"/>
    <xf numFmtId="2" fontId="58" fillId="2" borderId="9" xfId="0" applyNumberFormat="1" applyFont="1" applyFill="1" applyBorder="1"/>
    <xf numFmtId="1" fontId="23" fillId="17" borderId="1" xfId="0" applyNumberFormat="1" applyFont="1" applyFill="1" applyBorder="1" applyProtection="1">
      <protection locked="0"/>
    </xf>
    <xf numFmtId="0" fontId="56" fillId="2" borderId="0" xfId="0" applyFont="1" applyFill="1"/>
    <xf numFmtId="0" fontId="64" fillId="2" borderId="0" xfId="0" applyFont="1" applyFill="1"/>
    <xf numFmtId="165" fontId="61" fillId="0" borderId="0" xfId="0" applyNumberFormat="1" applyFont="1" applyFill="1"/>
    <xf numFmtId="0" fontId="23" fillId="0" borderId="1" xfId="0" applyFont="1" applyFill="1" applyBorder="1" applyAlignment="1">
      <alignment horizontal="center" vertical="top" wrapText="1"/>
    </xf>
    <xf numFmtId="0" fontId="87" fillId="0" borderId="0" xfId="0" applyFont="1"/>
    <xf numFmtId="0" fontId="83" fillId="0" borderId="0" xfId="1" applyFont="1" applyFill="1"/>
    <xf numFmtId="0" fontId="103" fillId="0" borderId="0" xfId="0" applyFont="1" applyFill="1"/>
    <xf numFmtId="0" fontId="95" fillId="0" borderId="0" xfId="0" applyFont="1" applyFill="1"/>
    <xf numFmtId="0" fontId="81" fillId="0" borderId="0" xfId="0" applyFont="1" applyFill="1"/>
    <xf numFmtId="0" fontId="85" fillId="0" borderId="0" xfId="0" applyFont="1" applyFill="1"/>
    <xf numFmtId="0" fontId="66" fillId="0" borderId="0" xfId="0" applyFont="1" applyFill="1"/>
    <xf numFmtId="0" fontId="66" fillId="0" borderId="0" xfId="0" applyFont="1" applyFill="1" applyBorder="1"/>
    <xf numFmtId="0" fontId="59" fillId="8" borderId="0" xfId="0" applyFont="1" applyFill="1"/>
    <xf numFmtId="0" fontId="64" fillId="0" borderId="0" xfId="0" applyFont="1" applyFill="1"/>
    <xf numFmtId="0" fontId="58" fillId="12" borderId="0" xfId="0" applyFont="1" applyFill="1"/>
    <xf numFmtId="164" fontId="59" fillId="3" borderId="1" xfId="0" applyNumberFormat="1" applyFont="1" applyFill="1" applyBorder="1"/>
    <xf numFmtId="2" fontId="59" fillId="15" borderId="1" xfId="0" applyNumberFormat="1" applyFont="1" applyFill="1" applyBorder="1"/>
    <xf numFmtId="165" fontId="65" fillId="4" borderId="0" xfId="0" applyNumberFormat="1" applyFont="1" applyFill="1"/>
    <xf numFmtId="4" fontId="58" fillId="3" borderId="9" xfId="0" applyNumberFormat="1" applyFont="1" applyFill="1" applyBorder="1"/>
    <xf numFmtId="0" fontId="59" fillId="36" borderId="9" xfId="0" applyNumberFormat="1" applyFont="1" applyFill="1" applyBorder="1"/>
    <xf numFmtId="0" fontId="81" fillId="0" borderId="0" xfId="0" applyFont="1"/>
    <xf numFmtId="0" fontId="59" fillId="24" borderId="9" xfId="0" applyNumberFormat="1" applyFont="1" applyFill="1" applyBorder="1"/>
    <xf numFmtId="164" fontId="59" fillId="39" borderId="9" xfId="0" applyNumberFormat="1" applyFont="1" applyFill="1" applyBorder="1"/>
    <xf numFmtId="0" fontId="101" fillId="0" borderId="1" xfId="0" applyFont="1" applyFill="1" applyBorder="1" applyAlignment="1">
      <alignment horizontal="center" textRotation="90" wrapText="1"/>
    </xf>
    <xf numFmtId="0" fontId="58" fillId="13" borderId="1" xfId="0" applyFont="1" applyFill="1" applyBorder="1"/>
    <xf numFmtId="0" fontId="109" fillId="0" borderId="0" xfId="0" applyFont="1" applyFill="1"/>
    <xf numFmtId="2" fontId="66" fillId="4" borderId="0" xfId="0" applyNumberFormat="1" applyFont="1" applyFill="1"/>
    <xf numFmtId="0" fontId="58" fillId="47" borderId="1" xfId="0" applyFont="1" applyFill="1" applyBorder="1" applyAlignment="1">
      <alignment horizontal="left" textRotation="90" wrapText="1"/>
    </xf>
    <xf numFmtId="0" fontId="71" fillId="0" borderId="3" xfId="0" applyFont="1" applyBorder="1" applyAlignment="1">
      <alignment horizontal="center" vertical="top" wrapText="1"/>
    </xf>
    <xf numFmtId="0" fontId="104" fillId="0" borderId="0" xfId="0" applyFont="1" applyBorder="1" applyAlignment="1">
      <alignment vertical="top"/>
    </xf>
    <xf numFmtId="164" fontId="58" fillId="41" borderId="1" xfId="0" applyNumberFormat="1" applyFont="1" applyFill="1" applyBorder="1"/>
    <xf numFmtId="0" fontId="58" fillId="41" borderId="1" xfId="0" applyFont="1" applyFill="1" applyBorder="1"/>
    <xf numFmtId="0" fontId="101" fillId="41" borderId="1" xfId="0" applyFont="1" applyFill="1" applyBorder="1"/>
    <xf numFmtId="0" fontId="58" fillId="39" borderId="1" xfId="0" applyFont="1" applyFill="1" applyBorder="1"/>
    <xf numFmtId="0" fontId="84" fillId="0" borderId="0" xfId="1" applyFont="1" applyFill="1"/>
    <xf numFmtId="166" fontId="45" fillId="0" borderId="0" xfId="0" applyNumberFormat="1" applyFont="1" applyBorder="1" applyAlignment="1">
      <alignment horizontal="left"/>
    </xf>
    <xf numFmtId="166" fontId="39" fillId="0" borderId="0" xfId="0" applyNumberFormat="1" applyFont="1" applyBorder="1" applyAlignment="1">
      <alignment horizontal="left" textRotation="90"/>
    </xf>
    <xf numFmtId="166" fontId="30" fillId="0" borderId="0" xfId="0" applyNumberFormat="1" applyFont="1" applyBorder="1" applyAlignment="1">
      <alignment horizontal="left" textRotation="90"/>
    </xf>
    <xf numFmtId="0" fontId="115" fillId="0" borderId="0" xfId="1" applyFont="1" applyFill="1"/>
    <xf numFmtId="0" fontId="35" fillId="0" borderId="0" xfId="1" applyFont="1" applyFill="1"/>
    <xf numFmtId="0" fontId="58" fillId="42" borderId="1" xfId="0" applyFont="1" applyFill="1" applyBorder="1"/>
    <xf numFmtId="0" fontId="58" fillId="37" borderId="1" xfId="0" applyFont="1" applyFill="1" applyBorder="1"/>
    <xf numFmtId="0" fontId="23" fillId="37" borderId="0" xfId="0" applyFont="1" applyFill="1"/>
    <xf numFmtId="0" fontId="109" fillId="19" borderId="0" xfId="0" applyFont="1" applyFill="1"/>
    <xf numFmtId="0" fontId="49" fillId="0" borderId="0" xfId="0" applyFont="1"/>
    <xf numFmtId="0" fontId="49" fillId="0" borderId="0" xfId="0" applyFont="1" applyBorder="1"/>
    <xf numFmtId="166" fontId="45" fillId="0" borderId="0" xfId="0" applyNumberFormat="1" applyFont="1" applyBorder="1" applyAlignment="1">
      <alignment horizontal="right"/>
    </xf>
    <xf numFmtId="1" fontId="23" fillId="2" borderId="1" xfId="0" applyNumberFormat="1" applyFont="1" applyFill="1" applyBorder="1" applyProtection="1">
      <protection locked="0"/>
    </xf>
    <xf numFmtId="0" fontId="23" fillId="39" borderId="0" xfId="0" applyFont="1" applyFill="1"/>
    <xf numFmtId="0" fontId="23" fillId="39" borderId="0" xfId="0" applyFont="1" applyFill="1" applyAlignment="1">
      <alignment horizontal="center"/>
    </xf>
    <xf numFmtId="0" fontId="49" fillId="17" borderId="1" xfId="0" applyFont="1" applyFill="1" applyBorder="1" applyAlignment="1">
      <alignment horizontal="left" textRotation="90" wrapText="1"/>
    </xf>
    <xf numFmtId="2" fontId="58" fillId="0" borderId="0" xfId="0" applyNumberFormat="1" applyFont="1"/>
    <xf numFmtId="0" fontId="118" fillId="0" borderId="0" xfId="0" applyFont="1" applyFill="1" applyAlignment="1">
      <alignment horizontal="left"/>
    </xf>
    <xf numFmtId="0" fontId="119" fillId="16" borderId="0" xfId="0" applyFont="1" applyFill="1"/>
    <xf numFmtId="0" fontId="120" fillId="16" borderId="0" xfId="0" applyFont="1" applyFill="1" applyAlignment="1">
      <alignment horizontal="left"/>
    </xf>
    <xf numFmtId="0" fontId="71" fillId="16" borderId="0" xfId="0" applyFont="1" applyFill="1"/>
    <xf numFmtId="0" fontId="71" fillId="0" borderId="0" xfId="0" applyFont="1" applyFill="1"/>
    <xf numFmtId="0" fontId="121" fillId="0" borderId="0" xfId="0" applyFont="1" applyFill="1" applyBorder="1" applyAlignment="1">
      <alignment horizontal="right"/>
    </xf>
    <xf numFmtId="165" fontId="114" fillId="0" borderId="0" xfId="0" applyNumberFormat="1" applyFont="1" applyFill="1"/>
    <xf numFmtId="0" fontId="91" fillId="0" borderId="0" xfId="0" applyFont="1"/>
    <xf numFmtId="164" fontId="62" fillId="0" borderId="0" xfId="0" applyNumberFormat="1" applyFont="1"/>
    <xf numFmtId="0" fontId="123" fillId="0" borderId="0" xfId="0" applyFont="1" applyFill="1" applyAlignment="1">
      <alignment horizontal="left"/>
    </xf>
    <xf numFmtId="2" fontId="58" fillId="0" borderId="1" xfId="0" applyNumberFormat="1" applyFont="1" applyBorder="1"/>
    <xf numFmtId="1" fontId="66" fillId="4" borderId="0" xfId="0" applyNumberFormat="1" applyFont="1" applyFill="1"/>
    <xf numFmtId="165" fontId="125" fillId="4" borderId="0" xfId="0" applyNumberFormat="1" applyFont="1" applyFill="1"/>
    <xf numFmtId="164" fontId="126" fillId="4" borderId="0" xfId="0" applyNumberFormat="1" applyFont="1" applyFill="1" applyAlignment="1">
      <alignment horizontal="right"/>
    </xf>
    <xf numFmtId="164" fontId="124" fillId="0" borderId="0" xfId="0" applyNumberFormat="1" applyFont="1" applyAlignment="1">
      <alignment horizontal="right"/>
    </xf>
    <xf numFmtId="0" fontId="127" fillId="0" borderId="0" xfId="0" applyFont="1" applyAlignment="1">
      <alignment horizontal="left"/>
    </xf>
    <xf numFmtId="0" fontId="128" fillId="0" borderId="0" xfId="0" applyFont="1" applyAlignment="1">
      <alignment horizontal="left"/>
    </xf>
    <xf numFmtId="0" fontId="58" fillId="36" borderId="1" xfId="0" applyFont="1" applyFill="1" applyBorder="1" applyAlignment="1">
      <alignment horizontal="left" textRotation="90" wrapText="1"/>
    </xf>
    <xf numFmtId="0" fontId="80" fillId="0" borderId="0" xfId="0" applyFont="1"/>
    <xf numFmtId="2" fontId="23" fillId="36" borderId="1" xfId="0" applyNumberFormat="1" applyFont="1" applyFill="1" applyBorder="1"/>
    <xf numFmtId="4" fontId="39" fillId="13" borderId="1" xfId="0" applyNumberFormat="1" applyFont="1" applyFill="1" applyBorder="1"/>
    <xf numFmtId="3" fontId="71" fillId="16" borderId="1" xfId="0" applyNumberFormat="1" applyFont="1" applyFill="1" applyBorder="1"/>
    <xf numFmtId="0" fontId="23" fillId="22" borderId="2" xfId="0" applyFont="1" applyFill="1" applyBorder="1"/>
    <xf numFmtId="0" fontId="23" fillId="46" borderId="2" xfId="0" applyFont="1" applyFill="1" applyBorder="1"/>
    <xf numFmtId="0" fontId="71" fillId="36" borderId="1" xfId="0" applyFont="1" applyFill="1" applyBorder="1"/>
    <xf numFmtId="0" fontId="54" fillId="36" borderId="1" xfId="0" applyFont="1" applyFill="1" applyBorder="1" applyAlignment="1">
      <alignment horizontal="left" vertical="top" wrapText="1"/>
    </xf>
    <xf numFmtId="0" fontId="54" fillId="13" borderId="1" xfId="0" applyFont="1" applyFill="1" applyBorder="1" applyAlignment="1">
      <alignment horizontal="left" vertical="top" wrapText="1"/>
    </xf>
    <xf numFmtId="0" fontId="25" fillId="16" borderId="0" xfId="0" applyFont="1" applyFill="1"/>
    <xf numFmtId="0" fontId="0" fillId="0" borderId="0" xfId="0"/>
    <xf numFmtId="0" fontId="24" fillId="17" borderId="0" xfId="0" applyFont="1" applyFill="1" applyBorder="1"/>
    <xf numFmtId="0" fontId="30" fillId="17" borderId="0" xfId="0" applyFont="1" applyFill="1" applyBorder="1" applyAlignment="1">
      <alignment horizontal="left" textRotation="90" wrapText="1"/>
    </xf>
    <xf numFmtId="0" fontId="23" fillId="17" borderId="0" xfId="0" applyFont="1" applyFill="1" applyBorder="1"/>
    <xf numFmtId="0" fontId="54" fillId="17" borderId="1" xfId="0" applyFont="1" applyFill="1" applyBorder="1" applyAlignment="1">
      <alignment horizontal="center" vertical="top" wrapText="1"/>
    </xf>
    <xf numFmtId="0" fontId="23" fillId="17" borderId="4" xfId="0" applyFont="1" applyFill="1" applyBorder="1"/>
    <xf numFmtId="0" fontId="132" fillId="0" borderId="0" xfId="0" applyFont="1"/>
    <xf numFmtId="0" fontId="123" fillId="0" borderId="0" xfId="0" applyFont="1" applyAlignment="1">
      <alignment horizontal="left"/>
    </xf>
    <xf numFmtId="0" fontId="0" fillId="0" borderId="0" xfId="0"/>
    <xf numFmtId="0" fontId="54" fillId="32" borderId="1" xfId="0" applyFont="1" applyFill="1" applyBorder="1" applyAlignment="1">
      <alignment horizontal="left" vertical="top" wrapText="1"/>
    </xf>
    <xf numFmtId="0" fontId="27" fillId="0" borderId="1" xfId="0" applyFont="1" applyBorder="1" applyAlignment="1">
      <alignment horizontal="left" textRotation="90" wrapText="1"/>
    </xf>
    <xf numFmtId="0" fontId="133" fillId="0" borderId="1" xfId="0" applyFont="1" applyFill="1" applyBorder="1" applyAlignment="1">
      <alignment horizontal="center" textRotation="90" wrapText="1"/>
    </xf>
    <xf numFmtId="165" fontId="134" fillId="0" borderId="0" xfId="0" applyNumberFormat="1" applyFont="1" applyFill="1"/>
    <xf numFmtId="0" fontId="101" fillId="0" borderId="0" xfId="0" applyFont="1" applyFill="1"/>
    <xf numFmtId="0" fontId="0" fillId="17" borderId="1" xfId="0" applyFill="1" applyBorder="1"/>
    <xf numFmtId="2" fontId="0" fillId="0" borderId="0" xfId="0" applyNumberFormat="1"/>
    <xf numFmtId="0" fontId="71" fillId="48" borderId="1" xfId="0" applyFont="1" applyFill="1" applyBorder="1"/>
    <xf numFmtId="2" fontId="23" fillId="13" borderId="1" xfId="0" applyNumberFormat="1" applyFont="1" applyFill="1" applyBorder="1"/>
    <xf numFmtId="164" fontId="23" fillId="0" borderId="1" xfId="0" applyNumberFormat="1" applyFont="1" applyFill="1" applyBorder="1" applyAlignment="1">
      <alignment horizontal="center" vertical="top" wrapText="1"/>
    </xf>
    <xf numFmtId="3" fontId="58" fillId="0" borderId="0" xfId="0" applyNumberFormat="1" applyFont="1"/>
    <xf numFmtId="4" fontId="92" fillId="32" borderId="1" xfId="0" applyNumberFormat="1" applyFont="1" applyFill="1" applyBorder="1"/>
    <xf numFmtId="4" fontId="71" fillId="12" borderId="1" xfId="0" applyNumberFormat="1" applyFont="1" applyFill="1" applyBorder="1"/>
    <xf numFmtId="2" fontId="131" fillId="0" borderId="0" xfId="0" applyNumberFormat="1" applyFont="1"/>
    <xf numFmtId="0" fontId="49" fillId="0" borderId="1" xfId="0" applyFont="1" applyBorder="1" applyAlignment="1">
      <alignment horizontal="left"/>
    </xf>
    <xf numFmtId="0" fontId="49" fillId="0" borderId="1" xfId="0" applyFont="1" applyBorder="1" applyAlignment="1">
      <alignment horizontal="left" textRotation="90" wrapText="1"/>
    </xf>
    <xf numFmtId="0" fontId="136" fillId="0" borderId="1" xfId="0" applyFont="1" applyBorder="1" applyAlignment="1">
      <alignment horizontal="left" textRotation="90" wrapText="1"/>
    </xf>
    <xf numFmtId="0" fontId="137" fillId="0" borderId="1" xfId="0" applyFont="1" applyFill="1" applyBorder="1" applyAlignment="1">
      <alignment horizontal="center" textRotation="90" wrapText="1"/>
    </xf>
    <xf numFmtId="0" fontId="136" fillId="0" borderId="1" xfId="0" applyFont="1" applyFill="1" applyBorder="1" applyAlignment="1">
      <alignment horizontal="center" textRotation="90" wrapText="1"/>
    </xf>
    <xf numFmtId="0" fontId="138" fillId="0" borderId="2" xfId="0" applyFont="1" applyFill="1" applyBorder="1" applyAlignment="1">
      <alignment horizontal="left" textRotation="90" wrapText="1"/>
    </xf>
    <xf numFmtId="0" fontId="49" fillId="31" borderId="0" xfId="0" applyFont="1" applyFill="1"/>
    <xf numFmtId="0" fontId="45" fillId="22" borderId="0" xfId="0" applyFont="1" applyFill="1" applyBorder="1" applyAlignment="1">
      <alignment horizontal="left" textRotation="90" wrapText="1"/>
    </xf>
    <xf numFmtId="0" fontId="45" fillId="8" borderId="0" xfId="0" applyFont="1" applyFill="1" applyBorder="1" applyAlignment="1">
      <alignment horizontal="left" textRotation="90" wrapText="1"/>
    </xf>
    <xf numFmtId="0" fontId="45" fillId="33" borderId="0" xfId="0" applyFont="1" applyFill="1" applyBorder="1" applyAlignment="1">
      <alignment horizontal="left" textRotation="90" wrapText="1"/>
    </xf>
    <xf numFmtId="0" fontId="45" fillId="0" borderId="0" xfId="0" applyFont="1" applyFill="1" applyBorder="1" applyAlignment="1">
      <alignment horizontal="left" textRotation="90" wrapText="1"/>
    </xf>
    <xf numFmtId="0" fontId="58" fillId="12" borderId="28" xfId="0" applyFont="1" applyFill="1" applyBorder="1"/>
    <xf numFmtId="0" fontId="58" fillId="31" borderId="28" xfId="0" applyFont="1" applyFill="1" applyBorder="1"/>
    <xf numFmtId="0" fontId="23" fillId="43" borderId="1" xfId="0" applyFont="1" applyFill="1" applyBorder="1" applyAlignment="1">
      <alignment horizontal="left" textRotation="90" wrapText="1"/>
    </xf>
    <xf numFmtId="0" fontId="39" fillId="16" borderId="1" xfId="0" applyFont="1" applyFill="1" applyBorder="1" applyAlignment="1">
      <alignment horizontal="left" textRotation="90" wrapText="1"/>
    </xf>
    <xf numFmtId="0" fontId="23" fillId="16" borderId="1" xfId="0" quotePrefix="1" applyFont="1" applyFill="1" applyBorder="1" applyAlignment="1">
      <alignment horizontal="left" textRotation="90" wrapText="1"/>
    </xf>
    <xf numFmtId="0" fontId="30" fillId="0" borderId="11" xfId="0" applyFont="1" applyBorder="1"/>
    <xf numFmtId="2" fontId="23" fillId="17" borderId="1" xfId="0" applyNumberFormat="1" applyFont="1" applyFill="1" applyBorder="1"/>
    <xf numFmtId="165" fontId="27" fillId="17" borderId="2" xfId="0" applyNumberFormat="1" applyFont="1" applyFill="1" applyBorder="1"/>
    <xf numFmtId="0" fontId="36" fillId="17" borderId="0" xfId="0" applyFont="1" applyFill="1" applyBorder="1"/>
    <xf numFmtId="2" fontId="27" fillId="17" borderId="2" xfId="0" applyNumberFormat="1" applyFont="1" applyFill="1" applyBorder="1"/>
    <xf numFmtId="0" fontId="27" fillId="17" borderId="2" xfId="0" applyFont="1" applyFill="1" applyBorder="1"/>
    <xf numFmtId="0" fontId="0" fillId="0" borderId="0" xfId="0"/>
    <xf numFmtId="0" fontId="69" fillId="0" borderId="0" xfId="0" applyFont="1"/>
    <xf numFmtId="0" fontId="49" fillId="0" borderId="1" xfId="0" applyFont="1" applyFill="1" applyBorder="1" applyAlignment="1">
      <alignment horizontal="center" vertical="top" wrapText="1"/>
    </xf>
    <xf numFmtId="0" fontId="49" fillId="0" borderId="1" xfId="0" applyFont="1" applyFill="1" applyBorder="1" applyAlignment="1">
      <alignment horizontal="center" vertical="top" wrapText="1"/>
    </xf>
    <xf numFmtId="0" fontId="29" fillId="0" borderId="0" xfId="1" applyFont="1" applyFill="1"/>
    <xf numFmtId="0" fontId="104" fillId="0" borderId="0" xfId="0" applyFont="1" applyFill="1" applyBorder="1"/>
    <xf numFmtId="1" fontId="24" fillId="0" borderId="0" xfId="0" applyNumberFormat="1" applyFont="1" applyFill="1" applyBorder="1"/>
    <xf numFmtId="1" fontId="23" fillId="4" borderId="1" xfId="0" applyNumberFormat="1" applyFont="1" applyFill="1" applyBorder="1"/>
    <xf numFmtId="0" fontId="102" fillId="0" borderId="0" xfId="0" applyFont="1" applyFill="1" applyAlignment="1">
      <alignment horizontal="left"/>
    </xf>
    <xf numFmtId="165" fontId="135" fillId="0" borderId="0" xfId="0" applyNumberFormat="1" applyFont="1" applyFill="1"/>
    <xf numFmtId="0" fontId="0" fillId="0" borderId="0" xfId="0" applyFill="1"/>
    <xf numFmtId="0" fontId="66" fillId="12" borderId="0" xfId="0" applyFont="1" applyFill="1" applyBorder="1"/>
    <xf numFmtId="0" fontId="49" fillId="0" borderId="1" xfId="0" applyFont="1" applyFill="1" applyBorder="1" applyAlignment="1">
      <alignment horizontal="center" vertical="top" wrapText="1"/>
    </xf>
    <xf numFmtId="0" fontId="23" fillId="13" borderId="1" xfId="0" applyFont="1" applyFill="1" applyBorder="1" applyAlignment="1">
      <alignment horizontal="left" vertical="top" wrapText="1"/>
    </xf>
    <xf numFmtId="2" fontId="54" fillId="5" borderId="1" xfId="0" applyNumberFormat="1" applyFont="1" applyFill="1" applyBorder="1" applyAlignment="1">
      <alignment horizontal="center" vertical="top" wrapText="1"/>
    </xf>
    <xf numFmtId="2" fontId="54" fillId="32" borderId="1" xfId="0" applyNumberFormat="1" applyFont="1" applyFill="1" applyBorder="1" applyAlignment="1">
      <alignment horizontal="center" vertical="top" wrapText="1"/>
    </xf>
    <xf numFmtId="0" fontId="101" fillId="0" borderId="1" xfId="0" applyFont="1" applyFill="1" applyBorder="1"/>
    <xf numFmtId="0" fontId="89" fillId="0" borderId="1" xfId="0" applyFont="1" applyFill="1" applyBorder="1"/>
    <xf numFmtId="0" fontId="89" fillId="0" borderId="9" xfId="0" applyFont="1" applyFill="1" applyBorder="1"/>
    <xf numFmtId="0" fontId="89" fillId="0" borderId="11" xfId="0" applyFont="1" applyFill="1" applyBorder="1"/>
    <xf numFmtId="0" fontId="49" fillId="0" borderId="1" xfId="0" applyFont="1" applyFill="1" applyBorder="1" applyAlignment="1">
      <alignment horizontal="center" vertical="top" wrapText="1"/>
    </xf>
    <xf numFmtId="0" fontId="148" fillId="8" borderId="0" xfId="0" applyFont="1" applyFill="1"/>
    <xf numFmtId="0" fontId="71" fillId="32" borderId="0" xfId="0" applyFont="1" applyFill="1" applyBorder="1"/>
    <xf numFmtId="0" fontId="58" fillId="49" borderId="0" xfId="0" applyFont="1" applyFill="1"/>
    <xf numFmtId="3" fontId="58" fillId="49" borderId="0" xfId="0" applyNumberFormat="1" applyFont="1" applyFill="1"/>
    <xf numFmtId="0" fontId="71" fillId="49" borderId="1" xfId="0" applyFont="1" applyFill="1" applyBorder="1"/>
    <xf numFmtId="0" fontId="94" fillId="49" borderId="1" xfId="0" applyFont="1" applyFill="1" applyBorder="1" applyProtection="1">
      <protection locked="0"/>
    </xf>
    <xf numFmtId="0" fontId="71" fillId="49" borderId="0" xfId="0" applyFont="1" applyFill="1"/>
    <xf numFmtId="0" fontId="58" fillId="47" borderId="6" xfId="0" applyFont="1" applyFill="1" applyBorder="1" applyAlignment="1">
      <alignment horizontal="left" textRotation="90" wrapText="1"/>
    </xf>
    <xf numFmtId="0" fontId="89" fillId="47" borderId="1" xfId="0" applyFont="1" applyFill="1" applyBorder="1" applyAlignment="1">
      <alignment horizontal="left" textRotation="90" wrapText="1"/>
    </xf>
    <xf numFmtId="3" fontId="71" fillId="16" borderId="11" xfId="0" applyNumberFormat="1" applyFont="1" applyFill="1" applyBorder="1"/>
    <xf numFmtId="3" fontId="71" fillId="16" borderId="17" xfId="0" applyNumberFormat="1" applyFont="1" applyFill="1" applyBorder="1"/>
    <xf numFmtId="0" fontId="101" fillId="0" borderId="11" xfId="0" applyFont="1" applyFill="1" applyBorder="1"/>
    <xf numFmtId="0" fontId="94" fillId="16" borderId="11" xfId="0" applyFont="1" applyFill="1" applyBorder="1" applyProtection="1">
      <protection locked="0"/>
    </xf>
    <xf numFmtId="0" fontId="94" fillId="16" borderId="17" xfId="0" applyFont="1" applyFill="1" applyBorder="1" applyProtection="1">
      <protection locked="0"/>
    </xf>
    <xf numFmtId="0" fontId="101" fillId="0" borderId="17" xfId="0" applyFont="1" applyFill="1" applyBorder="1"/>
    <xf numFmtId="3" fontId="71" fillId="16" borderId="34" xfId="0" applyNumberFormat="1" applyFont="1" applyFill="1" applyBorder="1"/>
    <xf numFmtId="0" fontId="94" fillId="16" borderId="34" xfId="0" applyFont="1" applyFill="1" applyBorder="1" applyProtection="1">
      <protection locked="0"/>
    </xf>
    <xf numFmtId="164" fontId="71" fillId="0" borderId="34" xfId="0" applyNumberFormat="1" applyFont="1" applyFill="1" applyBorder="1"/>
    <xf numFmtId="4" fontId="71" fillId="12" borderId="34" xfId="0" applyNumberFormat="1" applyFont="1" applyFill="1" applyBorder="1"/>
    <xf numFmtId="2" fontId="71" fillId="12" borderId="34" xfId="0" applyNumberFormat="1" applyFont="1" applyFill="1" applyBorder="1"/>
    <xf numFmtId="0" fontId="71" fillId="0" borderId="36" xfId="0" applyFont="1" applyBorder="1"/>
    <xf numFmtId="0" fontId="71" fillId="6" borderId="17" xfId="0" applyFont="1" applyFill="1" applyBorder="1" applyProtection="1">
      <protection locked="0"/>
    </xf>
    <xf numFmtId="0" fontId="71" fillId="36" borderId="17" xfId="0" applyFont="1" applyFill="1" applyBorder="1"/>
    <xf numFmtId="0" fontId="89" fillId="0" borderId="21" xfId="0" applyFont="1" applyFill="1" applyBorder="1"/>
    <xf numFmtId="0" fontId="89" fillId="0" borderId="34" xfId="0" applyFont="1" applyFill="1" applyBorder="1"/>
    <xf numFmtId="0" fontId="58" fillId="0" borderId="34" xfId="0" applyFont="1" applyBorder="1"/>
    <xf numFmtId="3" fontId="58" fillId="4" borderId="34" xfId="0" applyNumberFormat="1" applyFont="1" applyFill="1" applyBorder="1"/>
    <xf numFmtId="0" fontId="89" fillId="0" borderId="17" xfId="0" applyFont="1" applyFill="1" applyBorder="1"/>
    <xf numFmtId="0" fontId="89" fillId="0" borderId="33" xfId="0" applyFont="1" applyFill="1" applyBorder="1"/>
    <xf numFmtId="164" fontId="59" fillId="35" borderId="9" xfId="0" applyNumberFormat="1" applyFont="1" applyFill="1" applyBorder="1"/>
    <xf numFmtId="164" fontId="59" fillId="35" borderId="21" xfId="0" applyNumberFormat="1" applyFont="1" applyFill="1" applyBorder="1"/>
    <xf numFmtId="1" fontId="59" fillId="36" borderId="21" xfId="0" applyNumberFormat="1" applyFont="1" applyFill="1" applyBorder="1"/>
    <xf numFmtId="0" fontId="89" fillId="0" borderId="12" xfId="0" applyFont="1" applyFill="1" applyBorder="1"/>
    <xf numFmtId="0" fontId="58" fillId="0" borderId="7" xfId="0" applyFont="1" applyBorder="1"/>
    <xf numFmtId="1" fontId="59" fillId="36" borderId="22" xfId="0" applyNumberFormat="1" applyFont="1" applyFill="1" applyBorder="1"/>
    <xf numFmtId="1" fontId="59" fillId="36" borderId="34" xfId="0" applyNumberFormat="1" applyFont="1" applyFill="1" applyBorder="1"/>
    <xf numFmtId="0" fontId="58" fillId="0" borderId="14" xfId="0" applyFont="1" applyBorder="1"/>
    <xf numFmtId="2" fontId="59" fillId="36" borderId="21" xfId="0" applyNumberFormat="1" applyFont="1" applyFill="1" applyBorder="1"/>
    <xf numFmtId="2" fontId="59" fillId="36" borderId="34" xfId="0" applyNumberFormat="1" applyFont="1" applyFill="1" applyBorder="1"/>
    <xf numFmtId="164" fontId="59" fillId="35" borderId="34" xfId="0" applyNumberFormat="1" applyFont="1" applyFill="1" applyBorder="1"/>
    <xf numFmtId="0" fontId="59" fillId="36" borderId="21" xfId="0" applyNumberFormat="1" applyFont="1" applyFill="1" applyBorder="1"/>
    <xf numFmtId="0" fontId="59" fillId="36" borderId="34" xfId="0" applyNumberFormat="1" applyFont="1" applyFill="1" applyBorder="1"/>
    <xf numFmtId="0" fontId="89" fillId="0" borderId="37" xfId="0" applyFont="1" applyFill="1" applyBorder="1"/>
    <xf numFmtId="2" fontId="58" fillId="2" borderId="34" xfId="0" applyNumberFormat="1" applyFont="1" applyFill="1" applyBorder="1"/>
    <xf numFmtId="0" fontId="0" fillId="17" borderId="0" xfId="0" applyFill="1"/>
    <xf numFmtId="0" fontId="23" fillId="0" borderId="1" xfId="0" applyFont="1" applyBorder="1" applyAlignment="1">
      <alignment horizontal="left"/>
    </xf>
    <xf numFmtId="0" fontId="24" fillId="0" borderId="0" xfId="0" applyFont="1" applyFill="1"/>
    <xf numFmtId="0" fontId="34" fillId="16" borderId="0" xfId="0" applyFont="1" applyFill="1"/>
    <xf numFmtId="0" fontId="23" fillId="16" borderId="0" xfId="0" applyFont="1" applyFill="1"/>
    <xf numFmtId="0" fontId="23" fillId="0" borderId="0" xfId="0" applyFont="1" applyFill="1"/>
    <xf numFmtId="2" fontId="24" fillId="16" borderId="1" xfId="0" applyNumberFormat="1" applyFont="1" applyFill="1" applyBorder="1"/>
    <xf numFmtId="1" fontId="24" fillId="16" borderId="1" xfId="0" applyNumberFormat="1" applyFont="1" applyFill="1" applyBorder="1"/>
    <xf numFmtId="0" fontId="23" fillId="6" borderId="1" xfId="0" applyFont="1" applyFill="1" applyBorder="1"/>
    <xf numFmtId="0" fontId="97" fillId="16" borderId="0" xfId="0" applyFont="1" applyFill="1"/>
    <xf numFmtId="0" fontId="115" fillId="0" borderId="0" xfId="1" applyFont="1" applyFill="1"/>
    <xf numFmtId="0" fontId="35" fillId="0" borderId="0" xfId="1" applyFont="1" applyFill="1"/>
    <xf numFmtId="0" fontId="49" fillId="0" borderId="1" xfId="0" applyFont="1" applyFill="1" applyBorder="1" applyAlignment="1">
      <alignment horizontal="left" textRotation="90" wrapText="1"/>
    </xf>
    <xf numFmtId="0" fontId="27" fillId="0" borderId="1" xfId="0" applyFont="1" applyBorder="1" applyAlignment="1">
      <alignment horizontal="left" textRotation="90" wrapText="1"/>
    </xf>
    <xf numFmtId="0" fontId="0" fillId="14" borderId="0" xfId="0" applyFill="1"/>
    <xf numFmtId="0" fontId="0" fillId="19" borderId="0" xfId="0" applyFill="1"/>
    <xf numFmtId="0" fontId="30" fillId="16" borderId="1" xfId="0" applyFont="1" applyFill="1" applyBorder="1"/>
    <xf numFmtId="2" fontId="30" fillId="16" borderId="1" xfId="0" applyNumberFormat="1" applyFont="1" applyFill="1" applyBorder="1"/>
    <xf numFmtId="1" fontId="30" fillId="16" borderId="1" xfId="0" applyNumberFormat="1" applyFont="1" applyFill="1" applyBorder="1"/>
    <xf numFmtId="0" fontId="149" fillId="0" borderId="1" xfId="0" applyFont="1" applyFill="1" applyBorder="1" applyAlignment="1">
      <alignment horizontal="center" textRotation="90" wrapText="1"/>
    </xf>
    <xf numFmtId="0" fontId="22" fillId="0" borderId="1" xfId="0" applyFont="1" applyBorder="1" applyAlignment="1">
      <alignment horizontal="left" wrapText="1"/>
    </xf>
    <xf numFmtId="166" fontId="39" fillId="0" borderId="1" xfId="0" applyNumberFormat="1" applyFont="1" applyBorder="1" applyAlignment="1">
      <alignment horizontal="left" textRotation="90"/>
    </xf>
    <xf numFmtId="0" fontId="23" fillId="17" borderId="1" xfId="0" applyFont="1" applyFill="1" applyBorder="1" applyAlignment="1">
      <alignment horizontal="left"/>
    </xf>
    <xf numFmtId="0" fontId="27" fillId="17" borderId="1" xfId="0" applyFont="1" applyFill="1" applyBorder="1" applyAlignment="1">
      <alignment horizontal="left" textRotation="90" wrapText="1"/>
    </xf>
    <xf numFmtId="0" fontId="133" fillId="17" borderId="1" xfId="0" applyFont="1" applyFill="1" applyBorder="1" applyAlignment="1">
      <alignment horizontal="center" textRotation="90" wrapText="1"/>
    </xf>
    <xf numFmtId="0" fontId="27" fillId="14" borderId="1" xfId="0" applyFont="1" applyFill="1" applyBorder="1" applyAlignment="1">
      <alignment horizontal="left" wrapText="1"/>
    </xf>
    <xf numFmtId="0" fontId="133" fillId="14" borderId="1" xfId="0" applyFont="1" applyFill="1" applyBorder="1" applyAlignment="1">
      <alignment horizontal="right" wrapText="1"/>
    </xf>
    <xf numFmtId="0" fontId="49" fillId="14" borderId="1" xfId="0" applyFont="1" applyFill="1" applyBorder="1" applyAlignment="1">
      <alignment horizontal="right" wrapText="1"/>
    </xf>
    <xf numFmtId="0" fontId="45" fillId="14" borderId="1" xfId="0" applyFont="1" applyFill="1" applyBorder="1" applyAlignment="1">
      <alignment horizontal="right" wrapText="1"/>
    </xf>
    <xf numFmtId="0" fontId="106" fillId="51" borderId="1" xfId="0" applyFont="1" applyFill="1" applyBorder="1" applyAlignment="1">
      <alignment horizontal="right" wrapText="1"/>
    </xf>
    <xf numFmtId="0" fontId="39" fillId="14" borderId="1" xfId="0" applyFont="1" applyFill="1" applyBorder="1" applyAlignment="1">
      <alignment horizontal="right"/>
    </xf>
    <xf numFmtId="0" fontId="106" fillId="51" borderId="1" xfId="0" applyFont="1" applyFill="1" applyBorder="1" applyAlignment="1">
      <alignment horizontal="right"/>
    </xf>
    <xf numFmtId="0" fontId="48" fillId="11" borderId="1" xfId="0" applyFont="1" applyFill="1" applyBorder="1"/>
    <xf numFmtId="0" fontId="151" fillId="11" borderId="0" xfId="0" applyFont="1" applyFill="1"/>
    <xf numFmtId="2" fontId="48" fillId="11" borderId="1" xfId="0" applyNumberFormat="1" applyFont="1" applyFill="1" applyBorder="1"/>
    <xf numFmtId="2" fontId="23" fillId="6" borderId="1" xfId="0" applyNumberFormat="1" applyFont="1" applyFill="1" applyBorder="1"/>
    <xf numFmtId="2" fontId="23" fillId="6" borderId="1" xfId="0" applyNumberFormat="1" applyFont="1" applyFill="1" applyBorder="1"/>
    <xf numFmtId="2" fontId="23" fillId="6" borderId="1" xfId="0" applyNumberFormat="1" applyFont="1" applyFill="1" applyBorder="1"/>
    <xf numFmtId="2" fontId="23" fillId="6" borderId="1" xfId="0" applyNumberFormat="1" applyFont="1" applyFill="1" applyBorder="1"/>
    <xf numFmtId="2" fontId="23" fillId="6" borderId="1" xfId="0" applyNumberFormat="1" applyFont="1" applyFill="1" applyBorder="1"/>
    <xf numFmtId="0" fontId="49" fillId="0" borderId="1" xfId="0" applyFont="1" applyFill="1" applyBorder="1" applyAlignment="1">
      <alignment horizontal="center" vertical="top" wrapText="1"/>
    </xf>
    <xf numFmtId="0" fontId="49" fillId="0" borderId="1" xfId="0" applyFont="1" applyFill="1" applyBorder="1" applyAlignment="1">
      <alignment horizontal="center" textRotation="90" wrapText="1"/>
    </xf>
    <xf numFmtId="0" fontId="49" fillId="22" borderId="1" xfId="0" applyFont="1" applyFill="1" applyBorder="1" applyAlignment="1">
      <alignment horizontal="center" textRotation="90" wrapText="1"/>
    </xf>
    <xf numFmtId="0" fontId="49" fillId="23" borderId="1" xfId="0" applyFont="1" applyFill="1" applyBorder="1" applyAlignment="1">
      <alignment horizontal="center" textRotation="90" wrapText="1"/>
    </xf>
    <xf numFmtId="0" fontId="49" fillId="17" borderId="1" xfId="0" applyFont="1" applyFill="1" applyBorder="1" applyAlignment="1">
      <alignment horizontal="center" textRotation="90" wrapText="1"/>
    </xf>
    <xf numFmtId="0" fontId="23" fillId="18" borderId="0" xfId="0" applyFont="1" applyFill="1" applyBorder="1"/>
    <xf numFmtId="0" fontId="23" fillId="14" borderId="0" xfId="0" applyFont="1" applyFill="1" applyBorder="1"/>
    <xf numFmtId="0" fontId="0" fillId="52" borderId="0" xfId="0" applyFill="1"/>
    <xf numFmtId="0" fontId="49" fillId="0" borderId="1" xfId="0" applyFont="1" applyBorder="1" applyAlignment="1">
      <alignment horizontal="center" textRotation="90" wrapText="1"/>
    </xf>
    <xf numFmtId="2" fontId="27" fillId="18" borderId="2" xfId="0" applyNumberFormat="1" applyFont="1" applyFill="1" applyBorder="1"/>
    <xf numFmtId="0" fontId="36" fillId="18" borderId="0" xfId="0" applyFont="1" applyFill="1" applyBorder="1"/>
    <xf numFmtId="0" fontId="23" fillId="53" borderId="1" xfId="0" applyFont="1" applyFill="1" applyBorder="1"/>
    <xf numFmtId="164" fontId="23" fillId="53" borderId="1" xfId="0" applyNumberFormat="1" applyFont="1" applyFill="1" applyBorder="1"/>
    <xf numFmtId="2" fontId="27" fillId="14" borderId="2" xfId="0" applyNumberFormat="1" applyFont="1" applyFill="1" applyBorder="1"/>
    <xf numFmtId="0" fontId="36" fillId="14" borderId="0" xfId="0" applyFont="1" applyFill="1" applyBorder="1"/>
    <xf numFmtId="0" fontId="23" fillId="52" borderId="1" xfId="0" applyFont="1" applyFill="1" applyBorder="1"/>
    <xf numFmtId="0" fontId="23" fillId="52" borderId="0" xfId="0" applyFont="1" applyFill="1"/>
    <xf numFmtId="2" fontId="27" fillId="52" borderId="2" xfId="0" applyNumberFormat="1" applyFont="1" applyFill="1" applyBorder="1"/>
    <xf numFmtId="0" fontId="36" fillId="52" borderId="0" xfId="0" applyFont="1" applyFill="1" applyBorder="1"/>
    <xf numFmtId="0" fontId="23" fillId="52" borderId="0" xfId="0" applyFont="1" applyFill="1" applyBorder="1"/>
    <xf numFmtId="0" fontId="27" fillId="14" borderId="2" xfId="0" applyFont="1" applyFill="1" applyBorder="1"/>
    <xf numFmtId="0" fontId="0" fillId="38" borderId="0" xfId="0" applyFill="1"/>
    <xf numFmtId="2" fontId="58" fillId="12" borderId="1" xfId="0" applyNumberFormat="1" applyFont="1" applyFill="1" applyBorder="1"/>
    <xf numFmtId="2" fontId="89" fillId="12" borderId="2" xfId="0" applyNumberFormat="1" applyFont="1" applyFill="1" applyBorder="1"/>
    <xf numFmtId="0" fontId="58" fillId="47" borderId="1" xfId="0" applyFont="1" applyFill="1" applyBorder="1" applyAlignment="1">
      <alignment horizontal="center" textRotation="90" wrapText="1"/>
    </xf>
    <xf numFmtId="0" fontId="89" fillId="47" borderId="6" xfId="0" applyFont="1" applyFill="1" applyBorder="1" applyAlignment="1">
      <alignment horizontal="center" textRotation="90" wrapText="1"/>
    </xf>
    <xf numFmtId="0" fontId="49" fillId="15" borderId="1" xfId="0" applyFont="1" applyFill="1" applyBorder="1" applyAlignment="1">
      <alignment horizontal="left" textRotation="90" wrapText="1"/>
    </xf>
    <xf numFmtId="0" fontId="49" fillId="36" borderId="1" xfId="0" applyFont="1" applyFill="1" applyBorder="1" applyAlignment="1">
      <alignment horizontal="center" textRotation="90" wrapText="1"/>
    </xf>
    <xf numFmtId="165" fontId="41" fillId="0" borderId="0" xfId="0" applyNumberFormat="1" applyFont="1" applyBorder="1"/>
    <xf numFmtId="0" fontId="0" fillId="0" borderId="0" xfId="0" applyBorder="1"/>
    <xf numFmtId="1" fontId="24" fillId="16" borderId="2" xfId="0" applyNumberFormat="1" applyFont="1" applyFill="1" applyBorder="1"/>
    <xf numFmtId="0" fontId="104" fillId="0" borderId="11" xfId="0" applyFont="1" applyBorder="1"/>
    <xf numFmtId="165" fontId="41" fillId="0" borderId="13" xfId="0" applyNumberFormat="1" applyFont="1" applyBorder="1"/>
    <xf numFmtId="2" fontId="27" fillId="0" borderId="0" xfId="0" applyNumberFormat="1" applyFont="1" applyFill="1" applyBorder="1"/>
    <xf numFmtId="2" fontId="23" fillId="0" borderId="1" xfId="0" applyNumberFormat="1" applyFont="1" applyFill="1" applyBorder="1"/>
    <xf numFmtId="0" fontId="108" fillId="0" borderId="0" xfId="0" applyFont="1" applyFill="1"/>
    <xf numFmtId="0" fontId="107" fillId="0" borderId="0" xfId="0" applyFont="1" applyFill="1"/>
    <xf numFmtId="0" fontId="63" fillId="0" borderId="0" xfId="0" applyFont="1" applyFill="1" applyBorder="1" applyAlignment="1"/>
    <xf numFmtId="0" fontId="60" fillId="0" borderId="0" xfId="1" applyFont="1" applyFill="1" applyAlignment="1">
      <alignment vertical="top"/>
    </xf>
    <xf numFmtId="0" fontId="130" fillId="0" borderId="0" xfId="0" applyFont="1" applyFill="1" applyAlignment="1">
      <alignment horizontal="right"/>
    </xf>
    <xf numFmtId="0" fontId="58" fillId="47" borderId="6" xfId="0" applyFont="1" applyFill="1" applyBorder="1" applyAlignment="1">
      <alignment horizontal="center" textRotation="90" wrapText="1"/>
    </xf>
    <xf numFmtId="4" fontId="58" fillId="3" borderId="8" xfId="0" applyNumberFormat="1" applyFont="1" applyFill="1" applyBorder="1"/>
    <xf numFmtId="0" fontId="89" fillId="47" borderId="27" xfId="0" applyFont="1" applyFill="1" applyBorder="1" applyAlignment="1">
      <alignment horizontal="center" textRotation="90" wrapText="1"/>
    </xf>
    <xf numFmtId="4" fontId="58" fillId="3" borderId="29" xfId="0" applyNumberFormat="1" applyFont="1" applyFill="1" applyBorder="1"/>
    <xf numFmtId="4" fontId="89" fillId="6" borderId="40" xfId="0" applyNumberFormat="1" applyFont="1" applyFill="1" applyBorder="1" applyProtection="1">
      <protection locked="0"/>
    </xf>
    <xf numFmtId="4" fontId="89" fillId="6" borderId="44" xfId="0" applyNumberFormat="1" applyFont="1" applyFill="1" applyBorder="1" applyProtection="1">
      <protection locked="0"/>
    </xf>
    <xf numFmtId="0" fontId="58" fillId="31" borderId="0" xfId="0" applyNumberFormat="1" applyFont="1" applyFill="1"/>
    <xf numFmtId="0" fontId="58" fillId="0" borderId="0" xfId="0" applyNumberFormat="1" applyFont="1" applyFill="1"/>
    <xf numFmtId="0" fontId="74" fillId="15" borderId="1" xfId="0" applyFont="1" applyFill="1" applyBorder="1" applyAlignment="1">
      <alignment horizontal="left" textRotation="90" wrapText="1"/>
    </xf>
    <xf numFmtId="0" fontId="71" fillId="0" borderId="0" xfId="0" applyFont="1" applyFill="1" applyBorder="1" applyAlignment="1">
      <alignment vertical="top" wrapText="1"/>
    </xf>
    <xf numFmtId="0" fontId="58" fillId="0" borderId="0" xfId="0" applyFont="1" applyFill="1" applyBorder="1" applyAlignment="1">
      <alignment vertical="top" wrapText="1"/>
    </xf>
    <xf numFmtId="0" fontId="58" fillId="39" borderId="1" xfId="0" applyFont="1" applyFill="1" applyBorder="1" applyAlignment="1">
      <alignment horizontal="left" textRotation="90"/>
    </xf>
    <xf numFmtId="0" fontId="58" fillId="0" borderId="0" xfId="0" applyFont="1" applyAlignment="1">
      <alignment wrapText="1"/>
    </xf>
    <xf numFmtId="0" fontId="58" fillId="0" borderId="0" xfId="0" applyFont="1" applyAlignment="1">
      <alignment horizontal="left" textRotation="90" wrapText="1"/>
    </xf>
    <xf numFmtId="165" fontId="42" fillId="0" borderId="0" xfId="0" applyNumberFormat="1" applyFont="1" applyFill="1"/>
    <xf numFmtId="165" fontId="41" fillId="0" borderId="0" xfId="0" applyNumberFormat="1" applyFont="1" applyFill="1"/>
    <xf numFmtId="164" fontId="23" fillId="13" borderId="0" xfId="0" applyNumberFormat="1" applyFont="1" applyFill="1" applyBorder="1"/>
    <xf numFmtId="2" fontId="23" fillId="18" borderId="0" xfId="0" applyNumberFormat="1" applyFont="1" applyFill="1" applyBorder="1"/>
    <xf numFmtId="0" fontId="23" fillId="53" borderId="0" xfId="0" applyFont="1" applyFill="1" applyBorder="1"/>
    <xf numFmtId="2" fontId="23" fillId="27" borderId="0" xfId="0" applyNumberFormat="1" applyFont="1" applyFill="1" applyBorder="1"/>
    <xf numFmtId="0" fontId="23" fillId="0" borderId="1" xfId="0" applyFont="1" applyFill="1" applyBorder="1" applyAlignment="1">
      <alignment horizontal="center" vertical="center" wrapText="1"/>
    </xf>
    <xf numFmtId="0" fontId="58" fillId="56" borderId="1" xfId="0" applyFont="1" applyFill="1" applyBorder="1" applyAlignment="1">
      <alignment horizontal="left" textRotation="90" wrapText="1"/>
    </xf>
    <xf numFmtId="0" fontId="58" fillId="48" borderId="1" xfId="0" applyFont="1" applyFill="1" applyBorder="1" applyAlignment="1">
      <alignment horizontal="left" textRotation="90" wrapText="1"/>
    </xf>
    <xf numFmtId="0" fontId="59" fillId="16" borderId="2" xfId="0" applyFont="1" applyFill="1" applyBorder="1" applyAlignment="1">
      <alignment horizontal="left" textRotation="90" wrapText="1"/>
    </xf>
    <xf numFmtId="0" fontId="58" fillId="35" borderId="19" xfId="0" applyFont="1" applyFill="1" applyBorder="1" applyAlignment="1">
      <alignment horizontal="left" textRotation="90" wrapText="1"/>
    </xf>
    <xf numFmtId="1" fontId="59" fillId="36" borderId="42" xfId="0" applyNumberFormat="1" applyFont="1" applyFill="1" applyBorder="1"/>
    <xf numFmtId="0" fontId="58" fillId="40" borderId="6" xfId="0" applyFont="1" applyFill="1" applyBorder="1" applyAlignment="1">
      <alignment horizontal="left" textRotation="90" wrapText="1"/>
    </xf>
    <xf numFmtId="4" fontId="58" fillId="3" borderId="1" xfId="0" applyNumberFormat="1" applyFont="1" applyFill="1" applyBorder="1"/>
    <xf numFmtId="0" fontId="98" fillId="0" borderId="0" xfId="0" applyFont="1" applyFill="1" applyBorder="1"/>
    <xf numFmtId="0" fontId="58" fillId="0" borderId="1" xfId="0" applyFont="1" applyBorder="1" applyAlignment="1">
      <alignment wrapText="1"/>
    </xf>
    <xf numFmtId="0" fontId="30" fillId="22" borderId="1" xfId="0" applyFont="1" applyFill="1" applyBorder="1" applyAlignment="1">
      <alignment horizontal="left" textRotation="90" wrapText="1"/>
    </xf>
    <xf numFmtId="0" fontId="59" fillId="0" borderId="1" xfId="0" applyFont="1" applyBorder="1"/>
    <xf numFmtId="0" fontId="86" fillId="0" borderId="0" xfId="0" applyFont="1"/>
    <xf numFmtId="1" fontId="0" fillId="0" borderId="0" xfId="0" applyNumberFormat="1"/>
    <xf numFmtId="1" fontId="58" fillId="0" borderId="0" xfId="0" applyNumberFormat="1" applyFont="1" applyFill="1"/>
    <xf numFmtId="0" fontId="23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textRotation="90" wrapText="1"/>
    </xf>
    <xf numFmtId="0" fontId="23" fillId="23" borderId="1" xfId="0" applyFont="1" applyFill="1" applyBorder="1" applyAlignment="1">
      <alignment horizontal="center" textRotation="90" wrapText="1"/>
    </xf>
    <xf numFmtId="0" fontId="23" fillId="22" borderId="1" xfId="0" applyFont="1" applyFill="1" applyBorder="1" applyAlignment="1">
      <alignment horizontal="center" textRotation="90" wrapText="1"/>
    </xf>
    <xf numFmtId="0" fontId="23" fillId="18" borderId="1" xfId="0" applyFont="1" applyFill="1" applyBorder="1" applyAlignment="1">
      <alignment horizontal="center" textRotation="90" wrapText="1"/>
    </xf>
    <xf numFmtId="2" fontId="59" fillId="36" borderId="1" xfId="0" applyNumberFormat="1" applyFont="1" applyFill="1" applyBorder="1"/>
    <xf numFmtId="4" fontId="59" fillId="39" borderId="9" xfId="0" applyNumberFormat="1" applyFont="1" applyFill="1" applyBorder="1"/>
    <xf numFmtId="4" fontId="59" fillId="36" borderId="9" xfId="0" applyNumberFormat="1" applyFont="1" applyFill="1" applyBorder="1"/>
    <xf numFmtId="2" fontId="59" fillId="35" borderId="9" xfId="0" applyNumberFormat="1" applyFont="1" applyFill="1" applyBorder="1"/>
    <xf numFmtId="4" fontId="59" fillId="36" borderId="21" xfId="0" applyNumberFormat="1" applyFont="1" applyFill="1" applyBorder="1"/>
    <xf numFmtId="4" fontId="59" fillId="36" borderId="34" xfId="0" applyNumberFormat="1" applyFont="1" applyFill="1" applyBorder="1"/>
    <xf numFmtId="0" fontId="76" fillId="0" borderId="0" xfId="0" applyFont="1" applyFill="1" applyBorder="1" applyAlignment="1"/>
    <xf numFmtId="0" fontId="58" fillId="39" borderId="9" xfId="0" applyFont="1" applyFill="1" applyBorder="1"/>
    <xf numFmtId="0" fontId="58" fillId="39" borderId="21" xfId="0" applyFont="1" applyFill="1" applyBorder="1"/>
    <xf numFmtId="0" fontId="58" fillId="0" borderId="36" xfId="0" applyFont="1" applyBorder="1"/>
    <xf numFmtId="0" fontId="58" fillId="0" borderId="11" xfId="0" applyFont="1" applyBorder="1" applyAlignment="1">
      <alignment wrapText="1"/>
    </xf>
    <xf numFmtId="0" fontId="58" fillId="0" borderId="9" xfId="0" applyFont="1" applyBorder="1" applyAlignment="1">
      <alignment wrapText="1"/>
    </xf>
    <xf numFmtId="0" fontId="58" fillId="0" borderId="21" xfId="0" applyFont="1" applyBorder="1" applyAlignment="1">
      <alignment wrapText="1"/>
    </xf>
    <xf numFmtId="164" fontId="59" fillId="0" borderId="0" xfId="0" applyNumberFormat="1" applyFont="1" applyFill="1" applyBorder="1"/>
    <xf numFmtId="2" fontId="59" fillId="0" borderId="0" xfId="0" applyNumberFormat="1" applyFont="1" applyFill="1" applyBorder="1"/>
    <xf numFmtId="3" fontId="58" fillId="0" borderId="0" xfId="0" applyNumberFormat="1" applyFont="1" applyFill="1" applyBorder="1"/>
    <xf numFmtId="4" fontId="89" fillId="0" borderId="0" xfId="0" applyNumberFormat="1" applyFont="1" applyFill="1" applyBorder="1" applyProtection="1">
      <protection locked="0"/>
    </xf>
    <xf numFmtId="2" fontId="58" fillId="0" borderId="0" xfId="0" applyNumberFormat="1" applyFont="1" applyFill="1" applyBorder="1" applyProtection="1">
      <protection locked="0"/>
    </xf>
    <xf numFmtId="0" fontId="59" fillId="0" borderId="0" xfId="0" applyNumberFormat="1" applyFont="1" applyFill="1" applyBorder="1"/>
    <xf numFmtId="0" fontId="30" fillId="0" borderId="0" xfId="0" applyFont="1" applyFill="1" applyBorder="1" applyAlignment="1">
      <alignment vertical="center"/>
    </xf>
    <xf numFmtId="2" fontId="58" fillId="0" borderId="0" xfId="0" applyNumberFormat="1" applyFont="1" applyFill="1" applyBorder="1"/>
    <xf numFmtId="0" fontId="58" fillId="0" borderId="0" xfId="0" applyFont="1" applyFill="1" applyBorder="1" applyAlignment="1">
      <alignment wrapText="1"/>
    </xf>
    <xf numFmtId="0" fontId="59" fillId="36" borderId="1" xfId="0" applyNumberFormat="1" applyFont="1" applyFill="1" applyBorder="1"/>
    <xf numFmtId="1" fontId="59" fillId="36" borderId="1" xfId="0" applyNumberFormat="1" applyFont="1" applyFill="1" applyBorder="1"/>
    <xf numFmtId="0" fontId="23" fillId="0" borderId="1" xfId="0" applyFont="1" applyFill="1" applyBorder="1" applyAlignment="1">
      <alignment horizontal="center" vertical="center" wrapText="1"/>
    </xf>
    <xf numFmtId="4" fontId="89" fillId="15" borderId="1" xfId="0" applyNumberFormat="1" applyFont="1" applyFill="1" applyBorder="1" applyProtection="1">
      <protection locked="0"/>
    </xf>
    <xf numFmtId="0" fontId="23" fillId="0" borderId="0" xfId="0" applyFont="1" applyAlignment="1">
      <alignment wrapText="1"/>
    </xf>
    <xf numFmtId="0" fontId="49" fillId="0" borderId="9" xfId="0" applyFont="1" applyFill="1" applyBorder="1" applyAlignment="1">
      <alignment vertical="top" wrapText="1"/>
    </xf>
    <xf numFmtId="0" fontId="49" fillId="0" borderId="21" xfId="0" applyFont="1" applyFill="1" applyBorder="1" applyAlignment="1">
      <alignment vertical="top" wrapText="1"/>
    </xf>
    <xf numFmtId="0" fontId="49" fillId="0" borderId="9" xfId="0" applyFont="1" applyFill="1" applyBorder="1" applyAlignment="1">
      <alignment horizontal="center" vertical="top" wrapText="1"/>
    </xf>
    <xf numFmtId="164" fontId="49" fillId="0" borderId="9" xfId="0" applyNumberFormat="1" applyFont="1" applyFill="1" applyBorder="1" applyAlignment="1">
      <alignment horizontal="center" vertical="top" wrapText="1"/>
    </xf>
    <xf numFmtId="0" fontId="49" fillId="0" borderId="21" xfId="0" applyFont="1" applyFill="1" applyBorder="1" applyAlignment="1">
      <alignment horizontal="center" vertical="top" wrapText="1"/>
    </xf>
    <xf numFmtId="164" fontId="49" fillId="0" borderId="21" xfId="0" applyNumberFormat="1" applyFont="1" applyFill="1" applyBorder="1" applyAlignment="1">
      <alignment horizontal="center" vertical="top" wrapText="1"/>
    </xf>
    <xf numFmtId="0" fontId="49" fillId="0" borderId="11" xfId="0" applyFont="1" applyFill="1" applyBorder="1" applyAlignment="1">
      <alignment vertical="top" wrapText="1"/>
    </xf>
    <xf numFmtId="0" fontId="49" fillId="0" borderId="34" xfId="0" applyFont="1" applyFill="1" applyBorder="1" applyAlignment="1">
      <alignment vertical="top" wrapText="1"/>
    </xf>
    <xf numFmtId="0" fontId="49" fillId="0" borderId="34" xfId="0" applyFont="1" applyFill="1" applyBorder="1" applyAlignment="1">
      <alignment horizontal="center" vertical="top" wrapText="1"/>
    </xf>
    <xf numFmtId="164" fontId="49" fillId="0" borderId="34" xfId="0" applyNumberFormat="1" applyFont="1" applyFill="1" applyBorder="1" applyAlignment="1">
      <alignment horizontal="center" vertical="top" wrapText="1"/>
    </xf>
    <xf numFmtId="0" fontId="23" fillId="18" borderId="1" xfId="0" applyFont="1" applyFill="1" applyBorder="1"/>
    <xf numFmtId="0" fontId="23" fillId="32" borderId="1" xfId="0" applyFont="1" applyFill="1" applyBorder="1"/>
    <xf numFmtId="1" fontId="39" fillId="13" borderId="1" xfId="0" applyNumberFormat="1" applyFont="1" applyFill="1" applyBorder="1"/>
    <xf numFmtId="164" fontId="39" fillId="13" borderId="1" xfId="0" applyNumberFormat="1" applyFont="1" applyFill="1" applyBorder="1"/>
    <xf numFmtId="2" fontId="39" fillId="13" borderId="1" xfId="0" applyNumberFormat="1" applyFont="1" applyFill="1" applyBorder="1"/>
    <xf numFmtId="0" fontId="23" fillId="23" borderId="0" xfId="0" applyFont="1" applyFill="1"/>
    <xf numFmtId="0" fontId="23" fillId="10" borderId="0" xfId="0" applyFont="1" applyFill="1"/>
    <xf numFmtId="0" fontId="23" fillId="26" borderId="0" xfId="0" applyFont="1" applyFill="1"/>
    <xf numFmtId="0" fontId="58" fillId="0" borderId="1" xfId="0" applyFont="1" applyFill="1" applyBorder="1"/>
    <xf numFmtId="0" fontId="58" fillId="26" borderId="0" xfId="0" applyFont="1" applyFill="1"/>
    <xf numFmtId="0" fontId="58" fillId="15" borderId="0" xfId="0" applyFont="1" applyFill="1"/>
    <xf numFmtId="0" fontId="58" fillId="0" borderId="0" xfId="0" applyFont="1"/>
    <xf numFmtId="0" fontId="58" fillId="12" borderId="28" xfId="0" applyFont="1" applyFill="1" applyBorder="1"/>
    <xf numFmtId="0" fontId="58" fillId="31" borderId="28" xfId="0" applyFont="1" applyFill="1" applyBorder="1"/>
    <xf numFmtId="3" fontId="58" fillId="4" borderId="9" xfId="0" applyNumberFormat="1" applyFont="1" applyFill="1" applyBorder="1"/>
    <xf numFmtId="3" fontId="58" fillId="4" borderId="21" xfId="0" applyNumberFormat="1" applyFont="1" applyFill="1" applyBorder="1"/>
    <xf numFmtId="4" fontId="58" fillId="3" borderId="29" xfId="0" applyNumberFormat="1" applyFont="1" applyFill="1" applyBorder="1"/>
    <xf numFmtId="4" fontId="89" fillId="6" borderId="27" xfId="0" applyNumberFormat="1" applyFont="1" applyFill="1" applyBorder="1" applyProtection="1">
      <protection locked="0"/>
    </xf>
    <xf numFmtId="4" fontId="58" fillId="0" borderId="0" xfId="0" applyNumberFormat="1" applyFont="1"/>
    <xf numFmtId="3" fontId="58" fillId="4" borderId="22" xfId="0" applyNumberFormat="1" applyFont="1" applyFill="1" applyBorder="1"/>
    <xf numFmtId="164" fontId="59" fillId="36" borderId="9" xfId="0" applyNumberFormat="1" applyFont="1" applyFill="1" applyBorder="1"/>
    <xf numFmtId="4" fontId="58" fillId="40" borderId="9" xfId="0" applyNumberFormat="1" applyFont="1" applyFill="1" applyBorder="1" applyProtection="1">
      <protection locked="0"/>
    </xf>
    <xf numFmtId="4" fontId="58" fillId="40" borderId="21" xfId="0" applyNumberFormat="1" applyFont="1" applyFill="1" applyBorder="1" applyProtection="1">
      <protection locked="0"/>
    </xf>
    <xf numFmtId="164" fontId="59" fillId="36" borderId="21" xfId="0" applyNumberFormat="1" applyFont="1" applyFill="1" applyBorder="1"/>
    <xf numFmtId="164" fontId="59" fillId="36" borderId="34" xfId="0" applyNumberFormat="1" applyFont="1" applyFill="1" applyBorder="1"/>
    <xf numFmtId="164" fontId="54" fillId="2" borderId="1" xfId="0" applyNumberFormat="1" applyFont="1" applyFill="1" applyBorder="1" applyAlignment="1">
      <alignment horizontal="center" vertical="top" wrapText="1"/>
    </xf>
    <xf numFmtId="165" fontId="61" fillId="0" borderId="0" xfId="0" applyNumberFormat="1" applyFont="1" applyFill="1" applyBorder="1"/>
    <xf numFmtId="0" fontId="58" fillId="0" borderId="9" xfId="0" applyFont="1" applyFill="1" applyBorder="1"/>
    <xf numFmtId="0" fontId="58" fillId="56" borderId="1" xfId="0" applyFont="1" applyFill="1" applyBorder="1"/>
    <xf numFmtId="0" fontId="58" fillId="50" borderId="9" xfId="0" applyFont="1" applyFill="1" applyBorder="1"/>
    <xf numFmtId="0" fontId="58" fillId="50" borderId="1" xfId="0" applyFont="1" applyFill="1" applyBorder="1"/>
    <xf numFmtId="0" fontId="58" fillId="50" borderId="21" xfId="0" applyFont="1" applyFill="1" applyBorder="1"/>
    <xf numFmtId="0" fontId="58" fillId="36" borderId="9" xfId="0" applyFont="1" applyFill="1" applyBorder="1"/>
    <xf numFmtId="0" fontId="58" fillId="36" borderId="1" xfId="0" applyFont="1" applyFill="1" applyBorder="1"/>
    <xf numFmtId="0" fontId="58" fillId="36" borderId="21" xfId="0" applyFont="1" applyFill="1" applyBorder="1"/>
    <xf numFmtId="0" fontId="58" fillId="35" borderId="9" xfId="0" applyFont="1" applyFill="1" applyBorder="1"/>
    <xf numFmtId="0" fontId="58" fillId="35" borderId="1" xfId="0" applyFont="1" applyFill="1" applyBorder="1"/>
    <xf numFmtId="0" fontId="58" fillId="35" borderId="21" xfId="0" applyFont="1" applyFill="1" applyBorder="1"/>
    <xf numFmtId="0" fontId="58" fillId="47" borderId="34" xfId="0" applyFont="1" applyFill="1" applyBorder="1"/>
    <xf numFmtId="0" fontId="58" fillId="56" borderId="9" xfId="0" applyFont="1" applyFill="1" applyBorder="1"/>
    <xf numFmtId="0" fontId="58" fillId="21" borderId="9" xfId="0" applyFont="1" applyFill="1" applyBorder="1"/>
    <xf numFmtId="0" fontId="58" fillId="21" borderId="1" xfId="0" applyFont="1" applyFill="1" applyBorder="1"/>
    <xf numFmtId="0" fontId="58" fillId="21" borderId="21" xfId="0" applyFont="1" applyFill="1" applyBorder="1"/>
    <xf numFmtId="0" fontId="58" fillId="48" borderId="9" xfId="0" applyFont="1" applyFill="1" applyBorder="1"/>
    <xf numFmtId="0" fontId="58" fillId="48" borderId="1" xfId="0" applyFont="1" applyFill="1" applyBorder="1"/>
    <xf numFmtId="0" fontId="58" fillId="48" borderId="21" xfId="0" applyFont="1" applyFill="1" applyBorder="1"/>
    <xf numFmtId="0" fontId="66" fillId="4" borderId="48" xfId="0" applyFont="1" applyFill="1" applyBorder="1"/>
    <xf numFmtId="0" fontId="66" fillId="4" borderId="28" xfId="0" applyFont="1" applyFill="1" applyBorder="1"/>
    <xf numFmtId="0" fontId="58" fillId="56" borderId="17" xfId="0" applyFont="1" applyFill="1" applyBorder="1"/>
    <xf numFmtId="0" fontId="58" fillId="21" borderId="17" xfId="0" applyFont="1" applyFill="1" applyBorder="1"/>
    <xf numFmtId="0" fontId="66" fillId="55" borderId="0" xfId="0" applyFont="1" applyFill="1"/>
    <xf numFmtId="0" fontId="58" fillId="47" borderId="12" xfId="0" applyFont="1" applyFill="1" applyBorder="1"/>
    <xf numFmtId="0" fontId="101" fillId="0" borderId="33" xfId="0" applyFont="1" applyFill="1" applyBorder="1"/>
    <xf numFmtId="0" fontId="49" fillId="0" borderId="6" xfId="0" applyFont="1" applyFill="1" applyBorder="1" applyAlignment="1">
      <alignment horizontal="center" textRotation="90" wrapText="1"/>
    </xf>
    <xf numFmtId="0" fontId="71" fillId="18" borderId="6" xfId="0" applyFont="1" applyFill="1" applyBorder="1"/>
    <xf numFmtId="0" fontId="71" fillId="31" borderId="6" xfId="0" applyFont="1" applyFill="1" applyBorder="1"/>
    <xf numFmtId="0" fontId="71" fillId="14" borderId="6" xfId="0" applyFont="1" applyFill="1" applyBorder="1"/>
    <xf numFmtId="0" fontId="71" fillId="18" borderId="27" xfId="0" applyFont="1" applyFill="1" applyBorder="1"/>
    <xf numFmtId="0" fontId="71" fillId="31" borderId="27" xfId="0" applyFont="1" applyFill="1" applyBorder="1"/>
    <xf numFmtId="0" fontId="71" fillId="14" borderId="27" xfId="0" applyFont="1" applyFill="1" applyBorder="1"/>
    <xf numFmtId="0" fontId="71" fillId="32" borderId="27" xfId="0" applyFont="1" applyFill="1" applyBorder="1"/>
    <xf numFmtId="164" fontId="71" fillId="0" borderId="27" xfId="0" applyNumberFormat="1" applyFont="1" applyFill="1" applyBorder="1"/>
    <xf numFmtId="2" fontId="71" fillId="31" borderId="6" xfId="0" applyNumberFormat="1" applyFont="1" applyFill="1" applyBorder="1"/>
    <xf numFmtId="164" fontId="71" fillId="0" borderId="39" xfId="0" applyNumberFormat="1" applyFont="1" applyFill="1" applyBorder="1"/>
    <xf numFmtId="164" fontId="71" fillId="18" borderId="27" xfId="0" applyNumberFormat="1" applyFont="1" applyFill="1" applyBorder="1"/>
    <xf numFmtId="2" fontId="71" fillId="0" borderId="29" xfId="0" applyNumberFormat="1" applyFont="1" applyFill="1" applyBorder="1"/>
    <xf numFmtId="2" fontId="71" fillId="0" borderId="39" xfId="0" applyNumberFormat="1" applyFont="1" applyFill="1" applyBorder="1"/>
    <xf numFmtId="0" fontId="71" fillId="0" borderId="28" xfId="0" applyFont="1" applyBorder="1"/>
    <xf numFmtId="0" fontId="71" fillId="25" borderId="27" xfId="0" applyFont="1" applyFill="1" applyBorder="1"/>
    <xf numFmtId="0" fontId="71" fillId="18" borderId="26" xfId="0" applyFont="1" applyFill="1" applyBorder="1"/>
    <xf numFmtId="0" fontId="71" fillId="31" borderId="26" xfId="0" applyFont="1" applyFill="1" applyBorder="1"/>
    <xf numFmtId="0" fontId="71" fillId="14" borderId="26" xfId="0" applyFont="1" applyFill="1" applyBorder="1"/>
    <xf numFmtId="0" fontId="49" fillId="4" borderId="26" xfId="0" applyFont="1" applyFill="1" applyBorder="1" applyAlignment="1">
      <alignment vertical="top" wrapText="1"/>
    </xf>
    <xf numFmtId="2" fontId="71" fillId="16" borderId="26" xfId="0" applyNumberFormat="1" applyFont="1" applyFill="1" applyBorder="1" applyProtection="1">
      <protection locked="0"/>
    </xf>
    <xf numFmtId="2" fontId="71" fillId="16" borderId="25" xfId="0" applyNumberFormat="1" applyFont="1" applyFill="1" applyBorder="1" applyProtection="1">
      <protection locked="0"/>
    </xf>
    <xf numFmtId="0" fontId="71" fillId="32" borderId="26" xfId="0" applyFont="1" applyFill="1" applyBorder="1"/>
    <xf numFmtId="0" fontId="49" fillId="0" borderId="26" xfId="0" applyFont="1" applyFill="1" applyBorder="1" applyAlignment="1">
      <alignment horizontal="center" textRotation="90" wrapText="1"/>
    </xf>
    <xf numFmtId="0" fontId="98" fillId="37" borderId="26" xfId="0" applyFont="1" applyFill="1" applyBorder="1"/>
    <xf numFmtId="0" fontId="71" fillId="20" borderId="26" xfId="0" applyFont="1" applyFill="1" applyBorder="1"/>
    <xf numFmtId="0" fontId="71" fillId="0" borderId="27" xfId="0" applyFont="1" applyFill="1" applyBorder="1"/>
    <xf numFmtId="0" fontId="71" fillId="0" borderId="6" xfId="0" applyFont="1" applyFill="1" applyBorder="1"/>
    <xf numFmtId="0" fontId="71" fillId="32" borderId="6" xfId="0" applyFont="1" applyFill="1" applyBorder="1"/>
    <xf numFmtId="0" fontId="71" fillId="0" borderId="28" xfId="0" applyFont="1" applyFill="1" applyBorder="1"/>
    <xf numFmtId="4" fontId="71" fillId="12" borderId="27" xfId="0" applyNumberFormat="1" applyFont="1" applyFill="1" applyBorder="1"/>
    <xf numFmtId="4" fontId="71" fillId="12" borderId="39" xfId="0" applyNumberFormat="1" applyFont="1" applyFill="1" applyBorder="1"/>
    <xf numFmtId="2" fontId="71" fillId="18" borderId="27" xfId="0" applyNumberFormat="1" applyFont="1" applyFill="1" applyBorder="1"/>
    <xf numFmtId="2" fontId="71" fillId="31" borderId="27" xfId="0" applyNumberFormat="1" applyFont="1" applyFill="1" applyBorder="1"/>
    <xf numFmtId="164" fontId="71" fillId="14" borderId="27" xfId="0" applyNumberFormat="1" applyFont="1" applyFill="1" applyBorder="1"/>
    <xf numFmtId="164" fontId="71" fillId="0" borderId="27" xfId="0" applyNumberFormat="1" applyFont="1" applyBorder="1"/>
    <xf numFmtId="2" fontId="71" fillId="18" borderId="6" xfId="0" applyNumberFormat="1" applyFont="1" applyFill="1" applyBorder="1"/>
    <xf numFmtId="164" fontId="71" fillId="18" borderId="6" xfId="0" applyNumberFormat="1" applyFont="1" applyFill="1" applyBorder="1"/>
    <xf numFmtId="164" fontId="71" fillId="14" borderId="6" xfId="0" applyNumberFormat="1" applyFont="1" applyFill="1" applyBorder="1"/>
    <xf numFmtId="2" fontId="71" fillId="18" borderId="2" xfId="0" applyNumberFormat="1" applyFont="1" applyFill="1" applyBorder="1"/>
    <xf numFmtId="2" fontId="71" fillId="31" borderId="2" xfId="0" applyNumberFormat="1" applyFont="1" applyFill="1" applyBorder="1"/>
    <xf numFmtId="164" fontId="71" fillId="18" borderId="2" xfId="0" applyNumberFormat="1" applyFont="1" applyFill="1" applyBorder="1"/>
    <xf numFmtId="164" fontId="71" fillId="14" borderId="2" xfId="0" applyNumberFormat="1" applyFont="1" applyFill="1" applyBorder="1"/>
    <xf numFmtId="0" fontId="49" fillId="0" borderId="19" xfId="0" applyFont="1" applyFill="1" applyBorder="1" applyAlignment="1">
      <alignment horizontal="center" textRotation="90" wrapText="1"/>
    </xf>
    <xf numFmtId="0" fontId="71" fillId="0" borderId="46" xfId="0" applyFont="1" applyBorder="1"/>
    <xf numFmtId="2" fontId="71" fillId="18" borderId="19" xfId="0" applyNumberFormat="1" applyFont="1" applyFill="1" applyBorder="1"/>
    <xf numFmtId="2" fontId="71" fillId="31" borderId="19" xfId="0" applyNumberFormat="1" applyFont="1" applyFill="1" applyBorder="1"/>
    <xf numFmtId="164" fontId="71" fillId="18" borderId="19" xfId="0" applyNumberFormat="1" applyFont="1" applyFill="1" applyBorder="1"/>
    <xf numFmtId="164" fontId="71" fillId="14" borderId="19" xfId="0" applyNumberFormat="1" applyFont="1" applyFill="1" applyBorder="1"/>
    <xf numFmtId="0" fontId="136" fillId="0" borderId="27" xfId="0" applyFont="1" applyFill="1" applyBorder="1" applyAlignment="1">
      <alignment horizontal="center" textRotation="90" wrapText="1"/>
    </xf>
    <xf numFmtId="0" fontId="94" fillId="16" borderId="27" xfId="0" applyFont="1" applyFill="1" applyBorder="1" applyProtection="1">
      <protection locked="0"/>
    </xf>
    <xf numFmtId="164" fontId="71" fillId="0" borderId="2" xfId="0" applyNumberFormat="1" applyFont="1" applyFill="1" applyBorder="1"/>
    <xf numFmtId="164" fontId="71" fillId="0" borderId="35" xfId="0" applyNumberFormat="1" applyFont="1" applyFill="1" applyBorder="1"/>
    <xf numFmtId="0" fontId="58" fillId="47" borderId="35" xfId="0" applyFont="1" applyFill="1" applyBorder="1"/>
    <xf numFmtId="0" fontId="49" fillId="0" borderId="0" xfId="0" applyFont="1" applyFill="1" applyBorder="1" applyAlignment="1">
      <alignment horizontal="left" vertical="top"/>
    </xf>
    <xf numFmtId="0" fontId="23" fillId="24" borderId="0" xfId="0" applyFont="1" applyFill="1" applyBorder="1"/>
    <xf numFmtId="0" fontId="71" fillId="6" borderId="42" xfId="0" applyFont="1" applyFill="1" applyBorder="1" applyProtection="1">
      <protection locked="0"/>
    </xf>
    <xf numFmtId="0" fontId="49" fillId="0" borderId="1" xfId="0" applyFont="1" applyFill="1" applyBorder="1" applyAlignment="1">
      <alignment horizontal="center" vertical="top" wrapText="1"/>
    </xf>
    <xf numFmtId="3" fontId="58" fillId="4" borderId="1" xfId="0" applyNumberFormat="1" applyFont="1" applyFill="1" applyBorder="1"/>
    <xf numFmtId="0" fontId="58" fillId="0" borderId="1" xfId="0" applyFont="1" applyBorder="1" applyAlignment="1">
      <alignment wrapText="1"/>
    </xf>
    <xf numFmtId="4" fontId="58" fillId="40" borderId="1" xfId="0" applyNumberFormat="1" applyFont="1" applyFill="1" applyBorder="1" applyProtection="1">
      <protection locked="0"/>
    </xf>
    <xf numFmtId="2" fontId="59" fillId="15" borderId="1" xfId="0" applyNumberFormat="1" applyFont="1" applyFill="1" applyBorder="1"/>
    <xf numFmtId="3" fontId="58" fillId="3" borderId="9" xfId="0" applyNumberFormat="1" applyFont="1" applyFill="1" applyBorder="1"/>
    <xf numFmtId="4" fontId="58" fillId="0" borderId="0" xfId="0" applyNumberFormat="1" applyFont="1"/>
    <xf numFmtId="1" fontId="49" fillId="0" borderId="1" xfId="0" applyNumberFormat="1" applyFont="1" applyFill="1" applyBorder="1" applyAlignment="1">
      <alignment horizontal="center" vertical="top" wrapText="1"/>
    </xf>
    <xf numFmtId="164" fontId="0" fillId="0" borderId="0" xfId="0" applyNumberFormat="1"/>
    <xf numFmtId="2" fontId="0" fillId="2" borderId="0" xfId="0" applyNumberFormat="1" applyFill="1"/>
    <xf numFmtId="2" fontId="49" fillId="0" borderId="1" xfId="0" applyNumberFormat="1" applyFont="1" applyFill="1" applyBorder="1" applyAlignment="1">
      <alignment horizontal="center" vertical="top" wrapText="1"/>
    </xf>
    <xf numFmtId="0" fontId="89" fillId="0" borderId="22" xfId="0" applyFont="1" applyFill="1" applyBorder="1"/>
    <xf numFmtId="0" fontId="58" fillId="48" borderId="22" xfId="0" applyFont="1" applyFill="1" applyBorder="1"/>
    <xf numFmtId="0" fontId="58" fillId="50" borderId="22" xfId="0" applyFont="1" applyFill="1" applyBorder="1"/>
    <xf numFmtId="164" fontId="59" fillId="35" borderId="22" xfId="0" applyNumberFormat="1" applyFont="1" applyFill="1" applyBorder="1"/>
    <xf numFmtId="4" fontId="59" fillId="36" borderId="22" xfId="0" applyNumberFormat="1" applyFont="1" applyFill="1" applyBorder="1"/>
    <xf numFmtId="0" fontId="58" fillId="0" borderId="22" xfId="0" applyFont="1" applyBorder="1"/>
    <xf numFmtId="0" fontId="59" fillId="36" borderId="22" xfId="0" applyNumberFormat="1" applyFont="1" applyFill="1" applyBorder="1"/>
    <xf numFmtId="0" fontId="49" fillId="0" borderId="12" xfId="0" applyFont="1" applyFill="1" applyBorder="1" applyAlignment="1">
      <alignment horizontal="center" vertical="top" wrapText="1"/>
    </xf>
    <xf numFmtId="164" fontId="49" fillId="0" borderId="12" xfId="0" applyNumberFormat="1" applyFont="1" applyFill="1" applyBorder="1" applyAlignment="1">
      <alignment horizontal="center" vertical="top" wrapText="1"/>
    </xf>
    <xf numFmtId="164" fontId="23" fillId="0" borderId="9" xfId="0" applyNumberFormat="1" applyFont="1" applyFill="1" applyBorder="1" applyAlignment="1">
      <alignment horizontal="center" vertical="top" wrapText="1"/>
    </xf>
    <xf numFmtId="164" fontId="23" fillId="39" borderId="9" xfId="0" applyNumberFormat="1" applyFont="1" applyFill="1" applyBorder="1"/>
    <xf numFmtId="0" fontId="49" fillId="0" borderId="22" xfId="0" applyFont="1" applyFill="1" applyBorder="1" applyAlignment="1">
      <alignment horizontal="center" vertical="top" wrapText="1"/>
    </xf>
    <xf numFmtId="164" fontId="49" fillId="0" borderId="22" xfId="0" applyNumberFormat="1" applyFont="1" applyFill="1" applyBorder="1" applyAlignment="1">
      <alignment horizontal="center" vertical="top" wrapText="1"/>
    </xf>
    <xf numFmtId="164" fontId="23" fillId="0" borderId="21" xfId="0" applyNumberFormat="1" applyFont="1" applyFill="1" applyBorder="1" applyAlignment="1">
      <alignment horizontal="center" vertical="top" wrapText="1"/>
    </xf>
    <xf numFmtId="0" fontId="23" fillId="39" borderId="4" xfId="0" applyFont="1" applyFill="1" applyBorder="1"/>
    <xf numFmtId="164" fontId="23" fillId="39" borderId="21" xfId="0" applyNumberFormat="1" applyFont="1" applyFill="1" applyBorder="1"/>
    <xf numFmtId="164" fontId="23" fillId="0" borderId="11" xfId="0" applyNumberFormat="1" applyFont="1" applyFill="1" applyBorder="1" applyAlignment="1">
      <alignment horizontal="center" vertical="top" wrapText="1"/>
    </xf>
    <xf numFmtId="164" fontId="23" fillId="39" borderId="11" xfId="0" applyNumberFormat="1" applyFont="1" applyFill="1" applyBorder="1"/>
    <xf numFmtId="164" fontId="23" fillId="0" borderId="34" xfId="0" applyNumberFormat="1" applyFont="1" applyFill="1" applyBorder="1" applyAlignment="1">
      <alignment horizontal="center" vertical="top" wrapText="1"/>
    </xf>
    <xf numFmtId="0" fontId="23" fillId="39" borderId="36" xfId="0" applyFont="1" applyFill="1" applyBorder="1"/>
    <xf numFmtId="164" fontId="23" fillId="39" borderId="34" xfId="0" applyNumberFormat="1" applyFont="1" applyFill="1" applyBorder="1"/>
    <xf numFmtId="164" fontId="23" fillId="39" borderId="39" xfId="0" applyNumberFormat="1" applyFont="1" applyFill="1" applyBorder="1"/>
    <xf numFmtId="0" fontId="23" fillId="39" borderId="7" xfId="0" applyFont="1" applyFill="1" applyBorder="1"/>
    <xf numFmtId="0" fontId="23" fillId="36" borderId="1" xfId="0" applyFont="1" applyFill="1" applyBorder="1" applyProtection="1">
      <protection locked="0"/>
    </xf>
    <xf numFmtId="0" fontId="23" fillId="6" borderId="1" xfId="0" applyFont="1" applyFill="1" applyBorder="1"/>
    <xf numFmtId="0" fontId="23" fillId="6" borderId="1" xfId="0" applyFont="1" applyFill="1" applyBorder="1"/>
    <xf numFmtId="2" fontId="23" fillId="6" borderId="1" xfId="0" applyNumberFormat="1" applyFont="1" applyFill="1" applyBorder="1"/>
    <xf numFmtId="0" fontId="71" fillId="6" borderId="6" xfId="0" applyFont="1" applyFill="1" applyBorder="1" applyProtection="1">
      <protection locked="0"/>
    </xf>
    <xf numFmtId="0" fontId="23" fillId="6" borderId="1" xfId="0" applyFont="1" applyFill="1" applyBorder="1"/>
    <xf numFmtId="0" fontId="155" fillId="31" borderId="1" xfId="0" applyFont="1" applyFill="1" applyBorder="1"/>
    <xf numFmtId="0" fontId="71" fillId="35" borderId="0" xfId="0" applyFont="1" applyFill="1"/>
    <xf numFmtId="164" fontId="71" fillId="0" borderId="44" xfId="0" applyNumberFormat="1" applyFont="1" applyBorder="1"/>
    <xf numFmtId="0" fontId="71" fillId="6" borderId="1" xfId="0" applyFont="1" applyFill="1" applyBorder="1" applyProtection="1">
      <protection locked="0"/>
    </xf>
    <xf numFmtId="0" fontId="71" fillId="6" borderId="34" xfId="0" applyFont="1" applyFill="1" applyBorder="1" applyProtection="1">
      <protection locked="0"/>
    </xf>
    <xf numFmtId="164" fontId="71" fillId="0" borderId="39" xfId="0" applyNumberFormat="1" applyFont="1" applyBorder="1"/>
    <xf numFmtId="164" fontId="71" fillId="0" borderId="2" xfId="0" applyNumberFormat="1" applyFont="1" applyBorder="1"/>
    <xf numFmtId="0" fontId="49" fillId="0" borderId="17" xfId="0" applyFont="1" applyFill="1" applyBorder="1" applyAlignment="1">
      <alignment horizontal="center" vertical="top" wrapText="1"/>
    </xf>
    <xf numFmtId="164" fontId="49" fillId="0" borderId="17" xfId="0" applyNumberFormat="1" applyFont="1" applyFill="1" applyBorder="1" applyAlignment="1">
      <alignment horizontal="center" vertical="top" wrapText="1"/>
    </xf>
    <xf numFmtId="164" fontId="23" fillId="0" borderId="17" xfId="0" applyNumberFormat="1" applyFont="1" applyFill="1" applyBorder="1" applyAlignment="1">
      <alignment horizontal="center" vertical="top" wrapText="1"/>
    </xf>
    <xf numFmtId="0" fontId="23" fillId="39" borderId="18" xfId="0" applyFont="1" applyFill="1" applyBorder="1"/>
    <xf numFmtId="0" fontId="49" fillId="0" borderId="18" xfId="0" applyFont="1" applyFill="1" applyBorder="1" applyAlignment="1">
      <alignment horizontal="left" vertical="top"/>
    </xf>
    <xf numFmtId="164" fontId="58" fillId="0" borderId="0" xfId="0" applyNumberFormat="1" applyFont="1" applyFill="1"/>
    <xf numFmtId="1" fontId="71" fillId="36" borderId="1" xfId="0" applyNumberFormat="1" applyFont="1" applyFill="1" applyBorder="1"/>
    <xf numFmtId="1" fontId="71" fillId="36" borderId="19" xfId="0" applyNumberFormat="1" applyFont="1" applyFill="1" applyBorder="1"/>
    <xf numFmtId="1" fontId="71" fillId="36" borderId="37" xfId="0" applyNumberFormat="1" applyFont="1" applyFill="1" applyBorder="1"/>
    <xf numFmtId="1" fontId="71" fillId="36" borderId="34" xfId="0" applyNumberFormat="1" applyFont="1" applyFill="1" applyBorder="1"/>
    <xf numFmtId="1" fontId="71" fillId="36" borderId="6" xfId="0" applyNumberFormat="1" applyFont="1" applyFill="1" applyBorder="1"/>
    <xf numFmtId="1" fontId="71" fillId="36" borderId="42" xfId="0" applyNumberFormat="1" applyFont="1" applyFill="1" applyBorder="1"/>
    <xf numFmtId="164" fontId="71" fillId="15" borderId="27" xfId="0" applyNumberFormat="1" applyFont="1" applyFill="1" applyBorder="1"/>
    <xf numFmtId="164" fontId="71" fillId="15" borderId="39" xfId="0" applyNumberFormat="1" applyFont="1" applyFill="1" applyBorder="1"/>
    <xf numFmtId="0" fontId="58" fillId="0" borderId="11" xfId="0" applyFont="1" applyFill="1" applyBorder="1"/>
    <xf numFmtId="0" fontId="58" fillId="0" borderId="21" xfId="0" applyFont="1" applyFill="1" applyBorder="1"/>
    <xf numFmtId="0" fontId="58" fillId="0" borderId="22" xfId="0" applyFont="1" applyFill="1" applyBorder="1"/>
    <xf numFmtId="0" fontId="58" fillId="0" borderId="17" xfId="0" applyFont="1" applyFill="1" applyBorder="1"/>
    <xf numFmtId="0" fontId="58" fillId="0" borderId="34" xfId="0" applyFont="1" applyFill="1" applyBorder="1"/>
    <xf numFmtId="2" fontId="58" fillId="2" borderId="29" xfId="0" applyNumberFormat="1" applyFont="1" applyFill="1" applyBorder="1"/>
    <xf numFmtId="164" fontId="71" fillId="0" borderId="53" xfId="0" applyNumberFormat="1" applyFont="1" applyFill="1" applyBorder="1"/>
    <xf numFmtId="164" fontId="71" fillId="0" borderId="44" xfId="0" applyNumberFormat="1" applyFont="1" applyFill="1" applyBorder="1"/>
    <xf numFmtId="0" fontId="71" fillId="36" borderId="6" xfId="0" applyFont="1" applyFill="1" applyBorder="1"/>
    <xf numFmtId="0" fontId="71" fillId="36" borderId="42" xfId="0" applyFont="1" applyFill="1" applyBorder="1"/>
    <xf numFmtId="0" fontId="71" fillId="36" borderId="34" xfId="0" applyFont="1" applyFill="1" applyBorder="1"/>
    <xf numFmtId="4" fontId="71" fillId="36" borderId="6" xfId="0" applyNumberFormat="1" applyFont="1" applyFill="1" applyBorder="1" applyProtection="1">
      <protection locked="0"/>
    </xf>
    <xf numFmtId="4" fontId="71" fillId="36" borderId="1" xfId="0" applyNumberFormat="1" applyFont="1" applyFill="1" applyBorder="1" applyProtection="1">
      <protection locked="0"/>
    </xf>
    <xf numFmtId="2" fontId="71" fillId="36" borderId="6" xfId="0" applyNumberFormat="1" applyFont="1" applyFill="1" applyBorder="1" applyProtection="1">
      <protection locked="0"/>
    </xf>
    <xf numFmtId="2" fontId="71" fillId="36" borderId="1" xfId="0" applyNumberFormat="1" applyFont="1" applyFill="1" applyBorder="1" applyProtection="1">
      <protection locked="0"/>
    </xf>
    <xf numFmtId="2" fontId="71" fillId="36" borderId="34" xfId="0" applyNumberFormat="1" applyFont="1" applyFill="1" applyBorder="1" applyProtection="1">
      <protection locked="0"/>
    </xf>
    <xf numFmtId="2" fontId="71" fillId="36" borderId="17" xfId="0" applyNumberFormat="1" applyFont="1" applyFill="1" applyBorder="1" applyProtection="1">
      <protection locked="0"/>
    </xf>
    <xf numFmtId="0" fontId="59" fillId="2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Protection="1">
      <protection locked="0"/>
    </xf>
    <xf numFmtId="0" fontId="23" fillId="6" borderId="1" xfId="0" applyFont="1" applyFill="1" applyBorder="1" applyProtection="1">
      <protection locked="0"/>
    </xf>
    <xf numFmtId="1" fontId="71" fillId="6" borderId="19" xfId="0" applyNumberFormat="1" applyFont="1" applyFill="1" applyBorder="1" applyProtection="1">
      <protection locked="0"/>
    </xf>
    <xf numFmtId="1" fontId="71" fillId="6" borderId="37" xfId="0" applyNumberFormat="1" applyFont="1" applyFill="1" applyBorder="1" applyProtection="1">
      <protection locked="0"/>
    </xf>
    <xf numFmtId="1" fontId="71" fillId="6" borderId="1" xfId="0" applyNumberFormat="1" applyFont="1" applyFill="1" applyBorder="1" applyProtection="1">
      <protection locked="0"/>
    </xf>
    <xf numFmtId="1" fontId="71" fillId="6" borderId="34" xfId="0" applyNumberFormat="1" applyFont="1" applyFill="1" applyBorder="1" applyProtection="1">
      <protection locked="0"/>
    </xf>
    <xf numFmtId="1" fontId="71" fillId="6" borderId="6" xfId="0" applyNumberFormat="1" applyFont="1" applyFill="1" applyBorder="1" applyProtection="1">
      <protection locked="0"/>
    </xf>
    <xf numFmtId="1" fontId="71" fillId="6" borderId="42" xfId="0" applyNumberFormat="1" applyFont="1" applyFill="1" applyBorder="1" applyProtection="1">
      <protection locked="0"/>
    </xf>
    <xf numFmtId="4" fontId="58" fillId="3" borderId="9" xfId="0" applyNumberFormat="1" applyFont="1" applyFill="1" applyBorder="1"/>
    <xf numFmtId="2" fontId="59" fillId="36" borderId="9" xfId="0" applyNumberFormat="1" applyFont="1" applyFill="1" applyBorder="1"/>
    <xf numFmtId="2" fontId="58" fillId="4" borderId="1" xfId="0" applyNumberFormat="1" applyFont="1" applyFill="1" applyBorder="1"/>
    <xf numFmtId="2" fontId="58" fillId="4" borderId="21" xfId="0" applyNumberFormat="1" applyFont="1" applyFill="1" applyBorder="1"/>
    <xf numFmtId="2" fontId="58" fillId="4" borderId="9" xfId="0" applyNumberFormat="1" applyFont="1" applyFill="1" applyBorder="1"/>
    <xf numFmtId="4" fontId="59" fillId="36" borderId="1" xfId="0" applyNumberFormat="1" applyFont="1" applyFill="1" applyBorder="1"/>
    <xf numFmtId="2" fontId="58" fillId="4" borderId="22" xfId="0" applyNumberFormat="1" applyFont="1" applyFill="1" applyBorder="1"/>
    <xf numFmtId="0" fontId="58" fillId="0" borderId="1" xfId="0" applyFont="1" applyBorder="1"/>
    <xf numFmtId="0" fontId="71" fillId="31" borderId="0" xfId="0" applyFont="1" applyFill="1"/>
    <xf numFmtId="0" fontId="80" fillId="0" borderId="0" xfId="0" applyFont="1" applyFill="1"/>
    <xf numFmtId="2" fontId="58" fillId="0" borderId="0" xfId="0" applyNumberFormat="1" applyFont="1"/>
    <xf numFmtId="4" fontId="23" fillId="6" borderId="1" xfId="0" applyNumberFormat="1" applyFont="1" applyFill="1" applyBorder="1"/>
    <xf numFmtId="0" fontId="58" fillId="0" borderId="0" xfId="0" applyFont="1" applyFill="1" applyBorder="1" applyAlignment="1">
      <alignment horizontal="left" textRotation="90" wrapText="1"/>
    </xf>
    <xf numFmtId="2" fontId="59" fillId="35" borderId="34" xfId="0" applyNumberFormat="1" applyFont="1" applyFill="1" applyBorder="1"/>
    <xf numFmtId="2" fontId="58" fillId="0" borderId="0" xfId="0" applyNumberFormat="1" applyFont="1" applyBorder="1"/>
    <xf numFmtId="0" fontId="58" fillId="39" borderId="2" xfId="0" applyFont="1" applyFill="1" applyBorder="1" applyAlignment="1">
      <alignment horizontal="center" vertical="center" wrapText="1"/>
    </xf>
    <xf numFmtId="0" fontId="71" fillId="56" borderId="17" xfId="0" applyFont="1" applyFill="1" applyBorder="1"/>
    <xf numFmtId="0" fontId="71" fillId="50" borderId="17" xfId="0" applyFont="1" applyFill="1" applyBorder="1"/>
    <xf numFmtId="0" fontId="101" fillId="0" borderId="34" xfId="0" applyFont="1" applyFill="1" applyBorder="1"/>
    <xf numFmtId="0" fontId="30" fillId="0" borderId="0" xfId="0" applyFont="1" applyBorder="1" applyAlignment="1">
      <alignment vertical="center"/>
    </xf>
    <xf numFmtId="0" fontId="58" fillId="0" borderId="70" xfId="0" applyFont="1" applyBorder="1" applyAlignment="1">
      <alignment wrapText="1"/>
    </xf>
    <xf numFmtId="0" fontId="71" fillId="17" borderId="70" xfId="0" applyFont="1" applyFill="1" applyBorder="1"/>
    <xf numFmtId="0" fontId="58" fillId="56" borderId="70" xfId="0" applyFont="1" applyFill="1" applyBorder="1"/>
    <xf numFmtId="0" fontId="71" fillId="17" borderId="17" xfId="0" applyFont="1" applyFill="1" applyBorder="1"/>
    <xf numFmtId="3" fontId="58" fillId="4" borderId="68" xfId="0" applyNumberFormat="1" applyFont="1" applyFill="1" applyBorder="1"/>
    <xf numFmtId="4" fontId="58" fillId="40" borderId="68" xfId="0" applyNumberFormat="1" applyFont="1" applyFill="1" applyBorder="1" applyProtection="1">
      <protection locked="0"/>
    </xf>
    <xf numFmtId="4" fontId="59" fillId="36" borderId="68" xfId="0" applyNumberFormat="1" applyFont="1" applyFill="1" applyBorder="1"/>
    <xf numFmtId="3" fontId="58" fillId="0" borderId="4" xfId="0" applyNumberFormat="1" applyFont="1" applyBorder="1"/>
    <xf numFmtId="2" fontId="59" fillId="0" borderId="0" xfId="0" applyNumberFormat="1" applyFont="1" applyFill="1"/>
    <xf numFmtId="0" fontId="63" fillId="0" borderId="0" xfId="0" applyFont="1" applyFill="1" applyAlignment="1">
      <alignment horizontal="right"/>
    </xf>
    <xf numFmtId="0" fontId="63" fillId="0" borderId="4" xfId="0" applyFont="1" applyFill="1" applyBorder="1" applyAlignment="1">
      <alignment horizontal="right"/>
    </xf>
    <xf numFmtId="2" fontId="58" fillId="0" borderId="4" xfId="0" applyNumberFormat="1" applyFont="1" applyFill="1" applyBorder="1"/>
    <xf numFmtId="164" fontId="58" fillId="0" borderId="4" xfId="0" applyNumberFormat="1" applyFont="1" applyFill="1" applyBorder="1"/>
    <xf numFmtId="0" fontId="71" fillId="39" borderId="1" xfId="0" applyFont="1" applyFill="1" applyBorder="1"/>
    <xf numFmtId="0" fontId="71" fillId="50" borderId="1" xfId="0" applyFont="1" applyFill="1" applyBorder="1"/>
    <xf numFmtId="0" fontId="71" fillId="21" borderId="17" xfId="0" applyFont="1" applyFill="1" applyBorder="1"/>
    <xf numFmtId="0" fontId="71" fillId="21" borderId="1" xfId="0" applyFont="1" applyFill="1" applyBorder="1"/>
    <xf numFmtId="0" fontId="71" fillId="3" borderId="17" xfId="0" applyFont="1" applyFill="1" applyBorder="1"/>
    <xf numFmtId="0" fontId="71" fillId="48" borderId="17" xfId="0" applyFont="1" applyFill="1" applyBorder="1"/>
    <xf numFmtId="0" fontId="71" fillId="35" borderId="17" xfId="0" applyFont="1" applyFill="1" applyBorder="1"/>
    <xf numFmtId="0" fontId="71" fillId="3" borderId="33" xfId="0" applyFont="1" applyFill="1" applyBorder="1"/>
    <xf numFmtId="0" fontId="71" fillId="3" borderId="70" xfId="0" applyFont="1" applyFill="1" applyBorder="1"/>
    <xf numFmtId="0" fontId="71" fillId="48" borderId="70" xfId="0" applyFont="1" applyFill="1" applyBorder="1"/>
    <xf numFmtId="0" fontId="71" fillId="35" borderId="70" xfId="0" applyFont="1" applyFill="1" applyBorder="1"/>
    <xf numFmtId="0" fontId="71" fillId="36" borderId="70" xfId="0" applyFont="1" applyFill="1" applyBorder="1"/>
    <xf numFmtId="0" fontId="71" fillId="50" borderId="70" xfId="0" applyFont="1" applyFill="1" applyBorder="1"/>
    <xf numFmtId="0" fontId="71" fillId="39" borderId="70" xfId="0" applyFont="1" applyFill="1" applyBorder="1"/>
    <xf numFmtId="2" fontId="71" fillId="24" borderId="1" xfId="0" applyNumberFormat="1" applyFont="1" applyFill="1" applyBorder="1"/>
    <xf numFmtId="0" fontId="101" fillId="0" borderId="70" xfId="0" applyFont="1" applyFill="1" applyBorder="1"/>
    <xf numFmtId="3" fontId="71" fillId="16" borderId="70" xfId="0" applyNumberFormat="1" applyFont="1" applyFill="1" applyBorder="1"/>
    <xf numFmtId="0" fontId="71" fillId="56" borderId="70" xfId="0" applyFont="1" applyFill="1" applyBorder="1"/>
    <xf numFmtId="0" fontId="94" fillId="16" borderId="70" xfId="0" applyFont="1" applyFill="1" applyBorder="1" applyProtection="1">
      <protection locked="0"/>
    </xf>
    <xf numFmtId="0" fontId="71" fillId="6" borderId="70" xfId="0" applyFont="1" applyFill="1" applyBorder="1" applyProtection="1">
      <protection locked="0"/>
    </xf>
    <xf numFmtId="164" fontId="71" fillId="0" borderId="70" xfId="0" applyNumberFormat="1" applyFont="1" applyFill="1" applyBorder="1"/>
    <xf numFmtId="164" fontId="71" fillId="0" borderId="77" xfId="0" applyNumberFormat="1" applyFont="1" applyFill="1" applyBorder="1"/>
    <xf numFmtId="1" fontId="71" fillId="36" borderId="30" xfId="0" applyNumberFormat="1" applyFont="1" applyFill="1" applyBorder="1"/>
    <xf numFmtId="1" fontId="71" fillId="36" borderId="70" xfId="0" applyNumberFormat="1" applyFont="1" applyFill="1" applyBorder="1"/>
    <xf numFmtId="164" fontId="71" fillId="15" borderId="53" xfId="0" applyNumberFormat="1" applyFont="1" applyFill="1" applyBorder="1"/>
    <xf numFmtId="1" fontId="71" fillId="36" borderId="78" xfId="0" applyNumberFormat="1" applyFont="1" applyFill="1" applyBorder="1"/>
    <xf numFmtId="0" fontId="71" fillId="6" borderId="78" xfId="0" applyFont="1" applyFill="1" applyBorder="1" applyProtection="1">
      <protection locked="0"/>
    </xf>
    <xf numFmtId="164" fontId="71" fillId="0" borderId="53" xfId="0" applyNumberFormat="1" applyFont="1" applyBorder="1"/>
    <xf numFmtId="164" fontId="71" fillId="0" borderId="77" xfId="0" applyNumberFormat="1" applyFont="1" applyBorder="1"/>
    <xf numFmtId="1" fontId="71" fillId="6" borderId="30" xfId="0" applyNumberFormat="1" applyFont="1" applyFill="1" applyBorder="1" applyProtection="1">
      <protection locked="0"/>
    </xf>
    <xf numFmtId="1" fontId="71" fillId="6" borderId="70" xfId="0" applyNumberFormat="1" applyFont="1" applyFill="1" applyBorder="1" applyProtection="1">
      <protection locked="0"/>
    </xf>
    <xf numFmtId="1" fontId="71" fillId="6" borderId="78" xfId="0" applyNumberFormat="1" applyFont="1" applyFill="1" applyBorder="1" applyProtection="1">
      <protection locked="0"/>
    </xf>
    <xf numFmtId="0" fontId="71" fillId="36" borderId="78" xfId="0" applyFont="1" applyFill="1" applyBorder="1"/>
    <xf numFmtId="4" fontId="71" fillId="36" borderId="78" xfId="0" applyNumberFormat="1" applyFont="1" applyFill="1" applyBorder="1" applyProtection="1">
      <protection locked="0"/>
    </xf>
    <xf numFmtId="4" fontId="71" fillId="36" borderId="70" xfId="0" applyNumberFormat="1" applyFont="1" applyFill="1" applyBorder="1" applyProtection="1">
      <protection locked="0"/>
    </xf>
    <xf numFmtId="4" fontId="71" fillId="12" borderId="70" xfId="0" applyNumberFormat="1" applyFont="1" applyFill="1" applyBorder="1"/>
    <xf numFmtId="2" fontId="71" fillId="36" borderId="78" xfId="0" applyNumberFormat="1" applyFont="1" applyFill="1" applyBorder="1" applyProtection="1">
      <protection locked="0"/>
    </xf>
    <xf numFmtId="2" fontId="71" fillId="36" borderId="70" xfId="0" applyNumberFormat="1" applyFont="1" applyFill="1" applyBorder="1" applyProtection="1">
      <protection locked="0"/>
    </xf>
    <xf numFmtId="4" fontId="71" fillId="12" borderId="53" xfId="0" applyNumberFormat="1" applyFont="1" applyFill="1" applyBorder="1"/>
    <xf numFmtId="2" fontId="71" fillId="12" borderId="70" xfId="0" applyNumberFormat="1" applyFont="1" applyFill="1" applyBorder="1"/>
    <xf numFmtId="2" fontId="71" fillId="16" borderId="79" xfId="0" applyNumberFormat="1" applyFont="1" applyFill="1" applyBorder="1" applyProtection="1">
      <protection locked="0"/>
    </xf>
    <xf numFmtId="2" fontId="71" fillId="0" borderId="52" xfId="0" applyNumberFormat="1" applyFont="1" applyFill="1" applyBorder="1"/>
    <xf numFmtId="2" fontId="63" fillId="24" borderId="70" xfId="0" applyNumberFormat="1" applyFont="1" applyFill="1" applyBorder="1"/>
    <xf numFmtId="2" fontId="71" fillId="24" borderId="70" xfId="0" applyNumberFormat="1" applyFont="1" applyFill="1" applyBorder="1"/>
    <xf numFmtId="2" fontId="63" fillId="13" borderId="70" xfId="0" applyNumberFormat="1" applyFont="1" applyFill="1" applyBorder="1"/>
    <xf numFmtId="164" fontId="63" fillId="13" borderId="70" xfId="0" applyNumberFormat="1" applyFont="1" applyFill="1" applyBorder="1"/>
    <xf numFmtId="0" fontId="63" fillId="0" borderId="70" xfId="0" applyFont="1" applyFill="1" applyBorder="1"/>
    <xf numFmtId="164" fontId="71" fillId="0" borderId="17" xfId="0" applyNumberFormat="1" applyFont="1" applyFill="1" applyBorder="1"/>
    <xf numFmtId="164" fontId="71" fillId="0" borderId="80" xfId="0" applyNumberFormat="1" applyFont="1" applyFill="1" applyBorder="1"/>
    <xf numFmtId="1" fontId="71" fillId="36" borderId="16" xfId="0" applyNumberFormat="1" applyFont="1" applyFill="1" applyBorder="1"/>
    <xf numFmtId="1" fontId="71" fillId="36" borderId="17" xfId="0" applyNumberFormat="1" applyFont="1" applyFill="1" applyBorder="1"/>
    <xf numFmtId="164" fontId="71" fillId="15" borderId="44" xfId="0" applyNumberFormat="1" applyFont="1" applyFill="1" applyBorder="1"/>
    <xf numFmtId="1" fontId="71" fillId="36" borderId="38" xfId="0" applyNumberFormat="1" applyFont="1" applyFill="1" applyBorder="1"/>
    <xf numFmtId="0" fontId="71" fillId="6" borderId="38" xfId="0" applyFont="1" applyFill="1" applyBorder="1" applyProtection="1">
      <protection locked="0"/>
    </xf>
    <xf numFmtId="164" fontId="71" fillId="0" borderId="80" xfId="0" applyNumberFormat="1" applyFont="1" applyBorder="1"/>
    <xf numFmtId="1" fontId="71" fillId="6" borderId="16" xfId="0" applyNumberFormat="1" applyFont="1" applyFill="1" applyBorder="1" applyProtection="1">
      <protection locked="0"/>
    </xf>
    <xf numFmtId="1" fontId="71" fillId="6" borderId="17" xfId="0" applyNumberFormat="1" applyFont="1" applyFill="1" applyBorder="1" applyProtection="1">
      <protection locked="0"/>
    </xf>
    <xf numFmtId="1" fontId="71" fillId="6" borderId="38" xfId="0" applyNumberFormat="1" applyFont="1" applyFill="1" applyBorder="1" applyProtection="1">
      <protection locked="0"/>
    </xf>
    <xf numFmtId="0" fontId="71" fillId="36" borderId="38" xfId="0" applyFont="1" applyFill="1" applyBorder="1"/>
    <xf numFmtId="4" fontId="71" fillId="36" borderId="38" xfId="0" applyNumberFormat="1" applyFont="1" applyFill="1" applyBorder="1" applyProtection="1">
      <protection locked="0"/>
    </xf>
    <xf numFmtId="4" fontId="71" fillId="36" borderId="17" xfId="0" applyNumberFormat="1" applyFont="1" applyFill="1" applyBorder="1" applyProtection="1">
      <protection locked="0"/>
    </xf>
    <xf numFmtId="4" fontId="71" fillId="12" borderId="17" xfId="0" applyNumberFormat="1" applyFont="1" applyFill="1" applyBorder="1"/>
    <xf numFmtId="2" fontId="71" fillId="36" borderId="38" xfId="0" applyNumberFormat="1" applyFont="1" applyFill="1" applyBorder="1" applyProtection="1">
      <protection locked="0"/>
    </xf>
    <xf numFmtId="4" fontId="71" fillId="12" borderId="44" xfId="0" applyNumberFormat="1" applyFont="1" applyFill="1" applyBorder="1"/>
    <xf numFmtId="2" fontId="71" fillId="12" borderId="17" xfId="0" applyNumberFormat="1" applyFont="1" applyFill="1" applyBorder="1"/>
    <xf numFmtId="2" fontId="71" fillId="16" borderId="81" xfId="0" applyNumberFormat="1" applyFont="1" applyFill="1" applyBorder="1" applyProtection="1">
      <protection locked="0"/>
    </xf>
    <xf numFmtId="2" fontId="71" fillId="0" borderId="44" xfId="0" applyNumberFormat="1" applyFont="1" applyFill="1" applyBorder="1"/>
    <xf numFmtId="0" fontId="66" fillId="16" borderId="18" xfId="0" applyFont="1" applyFill="1" applyBorder="1" applyAlignment="1">
      <alignment vertical="top"/>
    </xf>
    <xf numFmtId="0" fontId="71" fillId="31" borderId="18" xfId="0" applyFont="1" applyFill="1" applyBorder="1"/>
    <xf numFmtId="0" fontId="71" fillId="0" borderId="18" xfId="0" applyFont="1" applyBorder="1"/>
    <xf numFmtId="2" fontId="63" fillId="24" borderId="17" xfId="0" applyNumberFormat="1" applyFont="1" applyFill="1" applyBorder="1"/>
    <xf numFmtId="2" fontId="71" fillId="24" borderId="17" xfId="0" applyNumberFormat="1" applyFont="1" applyFill="1" applyBorder="1"/>
    <xf numFmtId="164" fontId="63" fillId="13" borderId="17" xfId="0" applyNumberFormat="1" applyFont="1" applyFill="1" applyBorder="1"/>
    <xf numFmtId="2" fontId="63" fillId="13" borderId="17" xfId="0" applyNumberFormat="1" applyFont="1" applyFill="1" applyBorder="1"/>
    <xf numFmtId="2" fontId="63" fillId="13" borderId="18" xfId="0" applyNumberFormat="1" applyFont="1" applyFill="1" applyBorder="1"/>
    <xf numFmtId="0" fontId="63" fillId="0" borderId="17" xfId="0" applyFont="1" applyFill="1" applyBorder="1"/>
    <xf numFmtId="0" fontId="63" fillId="13" borderId="18" xfId="0" applyFont="1" applyFill="1" applyBorder="1"/>
    <xf numFmtId="0" fontId="71" fillId="21" borderId="70" xfId="0" applyFont="1" applyFill="1" applyBorder="1"/>
    <xf numFmtId="4" fontId="71" fillId="36" borderId="30" xfId="0" applyNumberFormat="1" applyFont="1" applyFill="1" applyBorder="1" applyProtection="1">
      <protection locked="0"/>
    </xf>
    <xf numFmtId="0" fontId="71" fillId="17" borderId="34" xfId="0" applyFont="1" applyFill="1" applyBorder="1"/>
    <xf numFmtId="0" fontId="71" fillId="47" borderId="34" xfId="0" applyFont="1" applyFill="1" applyBorder="1"/>
    <xf numFmtId="4" fontId="71" fillId="36" borderId="37" xfId="0" applyNumberFormat="1" applyFont="1" applyFill="1" applyBorder="1" applyProtection="1">
      <protection locked="0"/>
    </xf>
    <xf numFmtId="4" fontId="71" fillId="36" borderId="34" xfId="0" applyNumberFormat="1" applyFont="1" applyFill="1" applyBorder="1" applyProtection="1">
      <protection locked="0"/>
    </xf>
    <xf numFmtId="0" fontId="66" fillId="16" borderId="36" xfId="0" applyFont="1" applyFill="1" applyBorder="1" applyAlignment="1">
      <alignment vertical="top"/>
    </xf>
    <xf numFmtId="0" fontId="71" fillId="31" borderId="36" xfId="0" applyFont="1" applyFill="1" applyBorder="1"/>
    <xf numFmtId="2" fontId="63" fillId="24" borderId="34" xfId="0" applyNumberFormat="1" applyFont="1" applyFill="1" applyBorder="1"/>
    <xf numFmtId="164" fontId="63" fillId="24" borderId="34" xfId="0" applyNumberFormat="1" applyFont="1" applyFill="1" applyBorder="1"/>
    <xf numFmtId="2" fontId="71" fillId="24" borderId="34" xfId="0" applyNumberFormat="1" applyFont="1" applyFill="1" applyBorder="1"/>
    <xf numFmtId="2" fontId="63" fillId="13" borderId="34" xfId="0" applyNumberFormat="1" applyFont="1" applyFill="1" applyBorder="1"/>
    <xf numFmtId="164" fontId="63" fillId="13" borderId="34" xfId="0" applyNumberFormat="1" applyFont="1" applyFill="1" applyBorder="1"/>
    <xf numFmtId="2" fontId="63" fillId="13" borderId="36" xfId="0" applyNumberFormat="1" applyFont="1" applyFill="1" applyBorder="1"/>
    <xf numFmtId="0" fontId="63" fillId="0" borderId="34" xfId="0" applyFont="1" applyFill="1" applyBorder="1"/>
    <xf numFmtId="0" fontId="63" fillId="13" borderId="36" xfId="0" applyFont="1" applyFill="1" applyBorder="1"/>
    <xf numFmtId="0" fontId="94" fillId="16" borderId="44" xfId="0" applyFont="1" applyFill="1" applyBorder="1" applyProtection="1">
      <protection locked="0"/>
    </xf>
    <xf numFmtId="0" fontId="63" fillId="31" borderId="36" xfId="0" applyFont="1" applyFill="1" applyBorder="1"/>
    <xf numFmtId="0" fontId="58" fillId="39" borderId="2" xfId="0" applyFont="1" applyFill="1" applyBorder="1" applyAlignment="1">
      <alignment horizontal="center" vertical="center" wrapText="1"/>
    </xf>
    <xf numFmtId="0" fontId="58" fillId="39" borderId="2" xfId="0" applyFont="1" applyFill="1" applyBorder="1" applyAlignment="1">
      <alignment horizontal="center" textRotation="90" wrapText="1"/>
    </xf>
    <xf numFmtId="0" fontId="58" fillId="0" borderId="0" xfId="0" applyFont="1" applyFill="1" applyBorder="1" applyAlignment="1">
      <alignment horizontal="center" vertical="top" wrapText="1"/>
    </xf>
    <xf numFmtId="0" fontId="58" fillId="0" borderId="0" xfId="0" applyFont="1" applyFill="1" applyBorder="1" applyAlignment="1">
      <alignment horizontal="left" vertical="top" wrapText="1"/>
    </xf>
    <xf numFmtId="0" fontId="58" fillId="0" borderId="0" xfId="0" applyFont="1" applyFill="1" applyBorder="1" applyAlignment="1">
      <alignment horizontal="center" vertical="center" wrapText="1"/>
    </xf>
    <xf numFmtId="0" fontId="49" fillId="4" borderId="26" xfId="0" applyFont="1" applyFill="1" applyBorder="1" applyAlignment="1">
      <alignment horizontal="center" textRotation="90" wrapText="1"/>
    </xf>
    <xf numFmtId="164" fontId="39" fillId="0" borderId="0" xfId="0" applyNumberFormat="1" applyFont="1" applyFill="1" applyBorder="1"/>
    <xf numFmtId="2" fontId="30" fillId="0" borderId="0" xfId="0" applyNumberFormat="1" applyFont="1" applyFill="1" applyBorder="1"/>
    <xf numFmtId="2" fontId="39" fillId="0" borderId="0" xfId="0" applyNumberFormat="1" applyFont="1" applyFill="1" applyBorder="1"/>
    <xf numFmtId="0" fontId="23" fillId="16" borderId="70" xfId="0" applyFont="1" applyFill="1" applyBorder="1"/>
    <xf numFmtId="0" fontId="23" fillId="17" borderId="70" xfId="0" applyFont="1" applyFill="1" applyBorder="1"/>
    <xf numFmtId="0" fontId="48" fillId="16" borderId="70" xfId="0" applyFont="1" applyFill="1" applyBorder="1" applyProtection="1">
      <protection locked="0"/>
    </xf>
    <xf numFmtId="164" fontId="23" fillId="13" borderId="70" xfId="0" applyNumberFormat="1" applyFont="1" applyFill="1" applyBorder="1"/>
    <xf numFmtId="164" fontId="23" fillId="2" borderId="70" xfId="0" applyNumberFormat="1" applyFont="1" applyFill="1" applyBorder="1"/>
    <xf numFmtId="164" fontId="71" fillId="3" borderId="70" xfId="0" applyNumberFormat="1" applyFont="1" applyFill="1" applyBorder="1"/>
    <xf numFmtId="0" fontId="23" fillId="21" borderId="77" xfId="0" applyFont="1" applyFill="1" applyBorder="1"/>
    <xf numFmtId="2" fontId="30" fillId="24" borderId="70" xfId="0" applyNumberFormat="1" applyFont="1" applyFill="1" applyBorder="1"/>
    <xf numFmtId="0" fontId="39" fillId="0" borderId="70" xfId="0" applyFont="1" applyFill="1" applyBorder="1"/>
    <xf numFmtId="0" fontId="48" fillId="0" borderId="0" xfId="0" applyFont="1" applyFill="1" applyBorder="1" applyProtection="1">
      <protection locked="0"/>
    </xf>
    <xf numFmtId="164" fontId="23" fillId="0" borderId="0" xfId="0" applyNumberFormat="1" applyFont="1" applyFill="1" applyBorder="1"/>
    <xf numFmtId="1" fontId="23" fillId="0" borderId="0" xfId="0" applyNumberFormat="1" applyFont="1" applyFill="1" applyBorder="1"/>
    <xf numFmtId="1" fontId="39" fillId="0" borderId="0" xfId="0" applyNumberFormat="1" applyFont="1" applyFill="1" applyBorder="1"/>
    <xf numFmtId="0" fontId="39" fillId="0" borderId="0" xfId="0" applyFont="1" applyFill="1" applyBorder="1"/>
    <xf numFmtId="0" fontId="23" fillId="21" borderId="1" xfId="0" applyFont="1" applyFill="1" applyBorder="1"/>
    <xf numFmtId="0" fontId="36" fillId="0" borderId="0" xfId="0" applyFont="1" applyBorder="1"/>
    <xf numFmtId="2" fontId="158" fillId="24" borderId="1" xfId="0" applyNumberFormat="1" applyFont="1" applyFill="1" applyBorder="1"/>
    <xf numFmtId="4" fontId="58" fillId="0" borderId="0" xfId="0" applyNumberFormat="1" applyFont="1" applyFill="1" applyBorder="1"/>
    <xf numFmtId="0" fontId="63" fillId="16" borderId="1" xfId="0" applyFont="1" applyFill="1" applyBorder="1"/>
    <xf numFmtId="0" fontId="71" fillId="16" borderId="1" xfId="0" applyFont="1" applyFill="1" applyBorder="1"/>
    <xf numFmtId="2" fontId="63" fillId="16" borderId="1" xfId="0" applyNumberFormat="1" applyFont="1" applyFill="1" applyBorder="1"/>
    <xf numFmtId="2" fontId="63" fillId="16" borderId="0" xfId="0" applyNumberFormat="1" applyFont="1" applyFill="1" applyBorder="1"/>
    <xf numFmtId="2" fontId="63" fillId="0" borderId="0" xfId="0" applyNumberFormat="1" applyFont="1" applyFill="1" applyBorder="1"/>
    <xf numFmtId="165" fontId="93" fillId="0" borderId="0" xfId="0" applyNumberFormat="1" applyFont="1" applyFill="1"/>
    <xf numFmtId="165" fontId="114" fillId="0" borderId="0" xfId="0" applyNumberFormat="1" applyFont="1"/>
    <xf numFmtId="165" fontId="93" fillId="0" borderId="0" xfId="0" applyNumberFormat="1" applyFont="1"/>
    <xf numFmtId="165" fontId="159" fillId="0" borderId="0" xfId="0" applyNumberFormat="1" applyFont="1"/>
    <xf numFmtId="165" fontId="159" fillId="0" borderId="0" xfId="0" applyNumberFormat="1" applyFont="1" applyFill="1"/>
    <xf numFmtId="0" fontId="160" fillId="0" borderId="0" xfId="1" applyFont="1" applyFill="1"/>
    <xf numFmtId="1" fontId="63" fillId="16" borderId="1" xfId="0" applyNumberFormat="1" applyFont="1" applyFill="1" applyBorder="1"/>
    <xf numFmtId="1" fontId="63" fillId="16" borderId="0" xfId="0" applyNumberFormat="1" applyFont="1" applyFill="1" applyBorder="1"/>
    <xf numFmtId="0" fontId="88" fillId="0" borderId="7" xfId="0" applyFont="1" applyBorder="1" applyAlignment="1">
      <alignment horizontal="left" wrapText="1"/>
    </xf>
    <xf numFmtId="0" fontId="88" fillId="0" borderId="55" xfId="0" applyFont="1" applyBorder="1" applyAlignment="1">
      <alignment horizontal="left" wrapText="1"/>
    </xf>
    <xf numFmtId="0" fontId="71" fillId="0" borderId="0" xfId="0" applyFont="1" applyAlignment="1">
      <alignment vertical="top"/>
    </xf>
    <xf numFmtId="1" fontId="58" fillId="0" borderId="0" xfId="0" applyNumberFormat="1" applyFont="1" applyBorder="1"/>
    <xf numFmtId="164" fontId="58" fillId="0" borderId="0" xfId="0" applyNumberFormat="1" applyFont="1" applyBorder="1"/>
    <xf numFmtId="1" fontId="58" fillId="0" borderId="18" xfId="0" applyNumberFormat="1" applyFont="1" applyBorder="1"/>
    <xf numFmtId="164" fontId="58" fillId="0" borderId="18" xfId="0" applyNumberFormat="1" applyFont="1" applyBorder="1"/>
    <xf numFmtId="0" fontId="58" fillId="0" borderId="75" xfId="0" applyFont="1" applyBorder="1"/>
    <xf numFmtId="0" fontId="58" fillId="0" borderId="85" xfId="0" applyFont="1" applyBorder="1"/>
    <xf numFmtId="1" fontId="58" fillId="0" borderId="36" xfId="0" applyNumberFormat="1" applyFont="1" applyBorder="1"/>
    <xf numFmtId="164" fontId="58" fillId="0" borderId="36" xfId="0" applyNumberFormat="1" applyFont="1" applyBorder="1"/>
    <xf numFmtId="0" fontId="66" fillId="4" borderId="79" xfId="0" applyFont="1" applyFill="1" applyBorder="1"/>
    <xf numFmtId="0" fontId="58" fillId="0" borderId="79" xfId="0" applyFont="1" applyBorder="1"/>
    <xf numFmtId="0" fontId="58" fillId="0" borderId="28" xfId="0" applyFont="1" applyBorder="1"/>
    <xf numFmtId="0" fontId="71" fillId="17" borderId="33" xfId="0" applyFont="1" applyFill="1" applyBorder="1"/>
    <xf numFmtId="3" fontId="71" fillId="16" borderId="33" xfId="0" applyNumberFormat="1" applyFont="1" applyFill="1" applyBorder="1"/>
    <xf numFmtId="0" fontId="71" fillId="36" borderId="33" xfId="0" applyFont="1" applyFill="1" applyBorder="1"/>
    <xf numFmtId="0" fontId="94" fillId="16" borderId="33" xfId="0" applyFont="1" applyFill="1" applyBorder="1" applyProtection="1">
      <protection locked="0"/>
    </xf>
    <xf numFmtId="0" fontId="71" fillId="6" borderId="33" xfId="0" applyFont="1" applyFill="1" applyBorder="1" applyProtection="1">
      <protection locked="0"/>
    </xf>
    <xf numFmtId="164" fontId="71" fillId="0" borderId="33" xfId="0" applyNumberFormat="1" applyFont="1" applyFill="1" applyBorder="1"/>
    <xf numFmtId="164" fontId="71" fillId="0" borderId="71" xfId="0" applyNumberFormat="1" applyFont="1" applyFill="1" applyBorder="1"/>
    <xf numFmtId="1" fontId="71" fillId="36" borderId="89" xfId="0" applyNumberFormat="1" applyFont="1" applyFill="1" applyBorder="1"/>
    <xf numFmtId="1" fontId="71" fillId="36" borderId="33" xfId="0" applyNumberFormat="1" applyFont="1" applyFill="1" applyBorder="1"/>
    <xf numFmtId="164" fontId="71" fillId="15" borderId="90" xfId="0" applyNumberFormat="1" applyFont="1" applyFill="1" applyBorder="1"/>
    <xf numFmtId="1" fontId="71" fillId="36" borderId="91" xfId="0" applyNumberFormat="1" applyFont="1" applyFill="1" applyBorder="1"/>
    <xf numFmtId="0" fontId="71" fillId="6" borderId="91" xfId="0" applyFont="1" applyFill="1" applyBorder="1" applyProtection="1">
      <protection locked="0"/>
    </xf>
    <xf numFmtId="164" fontId="71" fillId="0" borderId="90" xfId="0" applyNumberFormat="1" applyFont="1" applyBorder="1"/>
    <xf numFmtId="164" fontId="71" fillId="0" borderId="71" xfId="0" applyNumberFormat="1" applyFont="1" applyBorder="1"/>
    <xf numFmtId="1" fontId="71" fillId="6" borderId="89" xfId="0" applyNumberFormat="1" applyFont="1" applyFill="1" applyBorder="1" applyProtection="1">
      <protection locked="0"/>
    </xf>
    <xf numFmtId="1" fontId="71" fillId="6" borderId="33" xfId="0" applyNumberFormat="1" applyFont="1" applyFill="1" applyBorder="1" applyProtection="1">
      <protection locked="0"/>
    </xf>
    <xf numFmtId="1" fontId="71" fillId="6" borderId="91" xfId="0" applyNumberFormat="1" applyFont="1" applyFill="1" applyBorder="1" applyProtection="1">
      <protection locked="0"/>
    </xf>
    <xf numFmtId="0" fontId="71" fillId="36" borderId="91" xfId="0" applyFont="1" applyFill="1" applyBorder="1"/>
    <xf numFmtId="4" fontId="71" fillId="36" borderId="91" xfId="0" applyNumberFormat="1" applyFont="1" applyFill="1" applyBorder="1" applyProtection="1">
      <protection locked="0"/>
    </xf>
    <xf numFmtId="4" fontId="71" fillId="36" borderId="33" xfId="0" applyNumberFormat="1" applyFont="1" applyFill="1" applyBorder="1" applyProtection="1">
      <protection locked="0"/>
    </xf>
    <xf numFmtId="4" fontId="71" fillId="12" borderId="33" xfId="0" applyNumberFormat="1" applyFont="1" applyFill="1" applyBorder="1"/>
    <xf numFmtId="164" fontId="71" fillId="0" borderId="90" xfId="0" applyNumberFormat="1" applyFont="1" applyFill="1" applyBorder="1"/>
    <xf numFmtId="2" fontId="71" fillId="36" borderId="91" xfId="0" applyNumberFormat="1" applyFont="1" applyFill="1" applyBorder="1" applyProtection="1">
      <protection locked="0"/>
    </xf>
    <xf numFmtId="2" fontId="71" fillId="36" borderId="33" xfId="0" applyNumberFormat="1" applyFont="1" applyFill="1" applyBorder="1" applyProtection="1">
      <protection locked="0"/>
    </xf>
    <xf numFmtId="4" fontId="71" fillId="12" borderId="90" xfId="0" applyNumberFormat="1" applyFont="1" applyFill="1" applyBorder="1"/>
    <xf numFmtId="2" fontId="71" fillId="12" borderId="33" xfId="0" applyNumberFormat="1" applyFont="1" applyFill="1" applyBorder="1"/>
    <xf numFmtId="2" fontId="71" fillId="16" borderId="23" xfId="0" applyNumberFormat="1" applyFont="1" applyFill="1" applyBorder="1" applyProtection="1">
      <protection locked="0"/>
    </xf>
    <xf numFmtId="2" fontId="71" fillId="0" borderId="90" xfId="0" applyNumberFormat="1" applyFont="1" applyFill="1" applyBorder="1"/>
    <xf numFmtId="0" fontId="86" fillId="0" borderId="18" xfId="0" applyFont="1" applyBorder="1" applyAlignment="1">
      <alignment vertical="center"/>
    </xf>
    <xf numFmtId="0" fontId="91" fillId="4" borderId="0" xfId="0" applyFont="1" applyFill="1"/>
    <xf numFmtId="0" fontId="91" fillId="55" borderId="0" xfId="0" applyFont="1" applyFill="1"/>
    <xf numFmtId="0" fontId="58" fillId="17" borderId="18" xfId="0" applyFont="1" applyFill="1" applyBorder="1"/>
    <xf numFmtId="0" fontId="49" fillId="0" borderId="26" xfId="0" applyFont="1" applyBorder="1" applyAlignment="1">
      <alignment horizontal="center" vertical="center" wrapText="1"/>
    </xf>
    <xf numFmtId="0" fontId="58" fillId="3" borderId="70" xfId="0" applyFont="1" applyFill="1" applyBorder="1"/>
    <xf numFmtId="4" fontId="58" fillId="36" borderId="9" xfId="0" applyNumberFormat="1" applyFont="1" applyFill="1" applyBorder="1"/>
    <xf numFmtId="4" fontId="58" fillId="8" borderId="0" xfId="0" applyNumberFormat="1" applyFont="1" applyFill="1"/>
    <xf numFmtId="0" fontId="58" fillId="16" borderId="1" xfId="0" applyFont="1" applyFill="1" applyBorder="1" applyAlignment="1">
      <alignment horizontal="left" textRotation="90" wrapText="1"/>
    </xf>
    <xf numFmtId="0" fontId="89" fillId="0" borderId="70" xfId="0" applyFont="1" applyFill="1" applyBorder="1"/>
    <xf numFmtId="0" fontId="58" fillId="39" borderId="70" xfId="0" applyFont="1" applyFill="1" applyBorder="1"/>
    <xf numFmtId="0" fontId="58" fillId="0" borderId="70" xfId="0" applyFont="1" applyBorder="1"/>
    <xf numFmtId="4" fontId="59" fillId="36" borderId="12" xfId="0" applyNumberFormat="1" applyFont="1" applyFill="1" applyBorder="1"/>
    <xf numFmtId="0" fontId="58" fillId="50" borderId="17" xfId="0" applyFont="1" applyFill="1" applyBorder="1"/>
    <xf numFmtId="4" fontId="59" fillId="36" borderId="17" xfId="0" applyNumberFormat="1" applyFont="1" applyFill="1" applyBorder="1"/>
    <xf numFmtId="4" fontId="58" fillId="40" borderId="17" xfId="0" applyNumberFormat="1" applyFont="1" applyFill="1" applyBorder="1" applyProtection="1">
      <protection locked="0"/>
    </xf>
    <xf numFmtId="0" fontId="58" fillId="50" borderId="70" xfId="0" applyFont="1" applyFill="1" applyBorder="1"/>
    <xf numFmtId="4" fontId="59" fillId="36" borderId="70" xfId="0" applyNumberFormat="1" applyFont="1" applyFill="1" applyBorder="1"/>
    <xf numFmtId="0" fontId="58" fillId="36" borderId="17" xfId="0" applyFont="1" applyFill="1" applyBorder="1"/>
    <xf numFmtId="0" fontId="58" fillId="36" borderId="70" xfId="0" applyFont="1" applyFill="1" applyBorder="1"/>
    <xf numFmtId="0" fontId="58" fillId="35" borderId="17" xfId="0" applyFont="1" applyFill="1" applyBorder="1"/>
    <xf numFmtId="4" fontId="58" fillId="3" borderId="12" xfId="0" applyNumberFormat="1" applyFont="1" applyFill="1" applyBorder="1"/>
    <xf numFmtId="0" fontId="58" fillId="39" borderId="17" xfId="0" applyFont="1" applyFill="1" applyBorder="1"/>
    <xf numFmtId="0" fontId="58" fillId="13" borderId="34" xfId="0" applyFont="1" applyFill="1" applyBorder="1"/>
    <xf numFmtId="4" fontId="58" fillId="3" borderId="34" xfId="0" applyNumberFormat="1" applyFont="1" applyFill="1" applyBorder="1"/>
    <xf numFmtId="0" fontId="58" fillId="35" borderId="70" xfId="0" applyFont="1" applyFill="1" applyBorder="1"/>
    <xf numFmtId="4" fontId="58" fillId="40" borderId="34" xfId="0" applyNumberFormat="1" applyFont="1" applyFill="1" applyBorder="1" applyProtection="1">
      <protection locked="0"/>
    </xf>
    <xf numFmtId="0" fontId="58" fillId="47" borderId="33" xfId="0" applyFont="1" applyFill="1" applyBorder="1"/>
    <xf numFmtId="0" fontId="58" fillId="0" borderId="33" xfId="0" applyFont="1" applyBorder="1"/>
    <xf numFmtId="4" fontId="59" fillId="36" borderId="33" xfId="0" applyNumberFormat="1" applyFont="1" applyFill="1" applyBorder="1"/>
    <xf numFmtId="0" fontId="58" fillId="21" borderId="70" xfId="0" applyFont="1" applyFill="1" applyBorder="1"/>
    <xf numFmtId="0" fontId="58" fillId="48" borderId="17" xfId="0" applyFont="1" applyFill="1" applyBorder="1"/>
    <xf numFmtId="0" fontId="58" fillId="48" borderId="70" xfId="0" applyFont="1" applyFill="1" applyBorder="1"/>
    <xf numFmtId="0" fontId="58" fillId="3" borderId="17" xfId="0" applyFont="1" applyFill="1" applyBorder="1"/>
    <xf numFmtId="0" fontId="58" fillId="0" borderId="73" xfId="0" applyFont="1" applyBorder="1" applyAlignment="1">
      <alignment wrapText="1"/>
    </xf>
    <xf numFmtId="0" fontId="58" fillId="0" borderId="1" xfId="0" applyFont="1" applyBorder="1" applyAlignment="1"/>
    <xf numFmtId="0" fontId="58" fillId="0" borderId="70" xfId="0" applyFont="1" applyBorder="1" applyAlignment="1"/>
    <xf numFmtId="164" fontId="59" fillId="36" borderId="70" xfId="0" applyNumberFormat="1" applyFont="1" applyFill="1" applyBorder="1"/>
    <xf numFmtId="0" fontId="58" fillId="17" borderId="0" xfId="0" applyFont="1" applyFill="1" applyBorder="1"/>
    <xf numFmtId="0" fontId="59" fillId="36" borderId="12" xfId="0" applyNumberFormat="1" applyFont="1" applyFill="1" applyBorder="1"/>
    <xf numFmtId="0" fontId="58" fillId="0" borderId="33" xfId="0" applyFont="1" applyBorder="1" applyAlignment="1"/>
    <xf numFmtId="0" fontId="59" fillId="36" borderId="17" xfId="0" applyNumberFormat="1" applyFont="1" applyFill="1" applyBorder="1"/>
    <xf numFmtId="164" fontId="59" fillId="36" borderId="17" xfId="0" applyNumberFormat="1" applyFont="1" applyFill="1" applyBorder="1"/>
    <xf numFmtId="0" fontId="58" fillId="0" borderId="17" xfId="0" applyFont="1" applyBorder="1" applyAlignment="1">
      <alignment wrapText="1"/>
    </xf>
    <xf numFmtId="0" fontId="58" fillId="0" borderId="12" xfId="0" applyFont="1" applyBorder="1" applyAlignment="1">
      <alignment wrapText="1"/>
    </xf>
    <xf numFmtId="0" fontId="58" fillId="0" borderId="12" xfId="0" applyFont="1" applyBorder="1"/>
    <xf numFmtId="0" fontId="58" fillId="0" borderId="33" xfId="0" applyFont="1" applyBorder="1" applyAlignment="1">
      <alignment wrapText="1"/>
    </xf>
    <xf numFmtId="0" fontId="23" fillId="0" borderId="9" xfId="0" applyFont="1" applyFill="1" applyBorder="1"/>
    <xf numFmtId="2" fontId="58" fillId="0" borderId="11" xfId="0" applyNumberFormat="1" applyFont="1" applyBorder="1"/>
    <xf numFmtId="2" fontId="59" fillId="24" borderId="9" xfId="0" applyNumberFormat="1" applyFont="1" applyFill="1" applyBorder="1" applyAlignment="1">
      <alignment horizontal="right"/>
    </xf>
    <xf numFmtId="0" fontId="58" fillId="4" borderId="1" xfId="0" applyNumberFormat="1" applyFont="1" applyFill="1" applyBorder="1"/>
    <xf numFmtId="165" fontId="70" fillId="0" borderId="0" xfId="0" applyNumberFormat="1" applyFont="1" applyFill="1"/>
    <xf numFmtId="0" fontId="58" fillId="0" borderId="17" xfId="0" applyFont="1" applyBorder="1" applyAlignment="1"/>
    <xf numFmtId="0" fontId="58" fillId="0" borderId="12" xfId="0" applyFont="1" applyBorder="1" applyAlignment="1"/>
    <xf numFmtId="4" fontId="89" fillId="6" borderId="20" xfId="0" applyNumberFormat="1" applyFont="1" applyFill="1" applyBorder="1" applyProtection="1">
      <protection locked="0"/>
    </xf>
    <xf numFmtId="0" fontId="23" fillId="0" borderId="0" xfId="0" applyFont="1" applyBorder="1" applyAlignment="1">
      <alignment horizontal="left"/>
    </xf>
    <xf numFmtId="0" fontId="162" fillId="0" borderId="1" xfId="0" applyFont="1" applyFill="1" applyBorder="1" applyAlignment="1">
      <alignment horizontal="left" textRotation="90" wrapText="1"/>
    </xf>
    <xf numFmtId="4" fontId="89" fillId="6" borderId="81" xfId="0" applyNumberFormat="1" applyFont="1" applyFill="1" applyBorder="1" applyProtection="1">
      <protection locked="0"/>
    </xf>
    <xf numFmtId="4" fontId="89" fillId="6" borderId="82" xfId="0" applyNumberFormat="1" applyFont="1" applyFill="1" applyBorder="1" applyProtection="1">
      <protection locked="0"/>
    </xf>
    <xf numFmtId="4" fontId="89" fillId="6" borderId="23" xfId="0" applyNumberFormat="1" applyFont="1" applyFill="1" applyBorder="1" applyProtection="1">
      <protection locked="0"/>
    </xf>
    <xf numFmtId="166" fontId="39" fillId="0" borderId="0" xfId="0" applyNumberFormat="1" applyFont="1" applyBorder="1" applyAlignment="1">
      <alignment horizontal="left"/>
    </xf>
    <xf numFmtId="0" fontId="144" fillId="0" borderId="0" xfId="0" applyFont="1" applyBorder="1" applyAlignment="1">
      <alignment vertical="top"/>
    </xf>
    <xf numFmtId="165" fontId="163" fillId="4" borderId="0" xfId="0" applyNumberFormat="1" applyFont="1" applyFill="1"/>
    <xf numFmtId="0" fontId="58" fillId="40" borderId="0" xfId="0" applyFont="1" applyFill="1"/>
    <xf numFmtId="0" fontId="89" fillId="0" borderId="1" xfId="0" applyFont="1" applyFill="1" applyBorder="1" applyAlignment="1">
      <alignment horizontal="center" textRotation="90" wrapText="1"/>
    </xf>
    <xf numFmtId="0" fontId="58" fillId="16" borderId="6" xfId="0" applyFont="1" applyFill="1" applyBorder="1" applyAlignment="1">
      <alignment horizontal="left" textRotation="90" wrapText="1"/>
    </xf>
    <xf numFmtId="4" fontId="58" fillId="40" borderId="6" xfId="0" applyNumberFormat="1" applyFont="1" applyFill="1" applyBorder="1" applyProtection="1">
      <protection locked="0"/>
    </xf>
    <xf numFmtId="4" fontId="58" fillId="40" borderId="41" xfId="0" applyNumberFormat="1" applyFont="1" applyFill="1" applyBorder="1" applyProtection="1">
      <protection locked="0"/>
    </xf>
    <xf numFmtId="3" fontId="58" fillId="6" borderId="22" xfId="0" applyNumberFormat="1" applyFont="1" applyFill="1" applyBorder="1"/>
    <xf numFmtId="4" fontId="58" fillId="40" borderId="22" xfId="0" applyNumberFormat="1" applyFont="1" applyFill="1" applyBorder="1" applyProtection="1">
      <protection locked="0"/>
    </xf>
    <xf numFmtId="4" fontId="58" fillId="40" borderId="50" xfId="0" applyNumberFormat="1" applyFont="1" applyFill="1" applyBorder="1" applyProtection="1">
      <protection locked="0"/>
    </xf>
    <xf numFmtId="4" fontId="58" fillId="40" borderId="8" xfId="0" applyNumberFormat="1" applyFont="1" applyFill="1" applyBorder="1" applyProtection="1">
      <protection locked="0"/>
    </xf>
    <xf numFmtId="4" fontId="58" fillId="40" borderId="74" xfId="0" applyNumberFormat="1" applyFont="1" applyFill="1" applyBorder="1" applyProtection="1">
      <protection locked="0"/>
    </xf>
    <xf numFmtId="2" fontId="66" fillId="4" borderId="48" xfId="0" applyNumberFormat="1" applyFont="1" applyFill="1" applyBorder="1"/>
    <xf numFmtId="0" fontId="66" fillId="55" borderId="28" xfId="0" applyFont="1" applyFill="1" applyBorder="1"/>
    <xf numFmtId="0" fontId="162" fillId="0" borderId="1" xfId="0" applyFont="1" applyFill="1" applyBorder="1" applyAlignment="1">
      <alignment horizontal="center" textRotation="90" wrapText="1"/>
    </xf>
    <xf numFmtId="4" fontId="58" fillId="3" borderId="39" xfId="0" applyNumberFormat="1" applyFont="1" applyFill="1" applyBorder="1"/>
    <xf numFmtId="4" fontId="58" fillId="3" borderId="42" xfId="0" applyNumberFormat="1" applyFont="1" applyFill="1" applyBorder="1"/>
    <xf numFmtId="164" fontId="59" fillId="39" borderId="34" xfId="0" applyNumberFormat="1" applyFont="1" applyFill="1" applyBorder="1"/>
    <xf numFmtId="1" fontId="59" fillId="39" borderId="34" xfId="0" applyNumberFormat="1" applyFont="1" applyFill="1" applyBorder="1"/>
    <xf numFmtId="3" fontId="58" fillId="4" borderId="17" xfId="0" applyNumberFormat="1" applyFont="1" applyFill="1" applyBorder="1"/>
    <xf numFmtId="4" fontId="58" fillId="40" borderId="38" xfId="0" applyNumberFormat="1" applyFont="1" applyFill="1" applyBorder="1" applyProtection="1">
      <protection locked="0"/>
    </xf>
    <xf numFmtId="4" fontId="59" fillId="36" borderId="44" xfId="0" applyNumberFormat="1" applyFont="1" applyFill="1" applyBorder="1"/>
    <xf numFmtId="4" fontId="59" fillId="36" borderId="29" xfId="0" applyNumberFormat="1" applyFont="1" applyFill="1" applyBorder="1"/>
    <xf numFmtId="0" fontId="89" fillId="0" borderId="88" xfId="0" applyFont="1" applyFill="1" applyBorder="1"/>
    <xf numFmtId="0" fontId="58" fillId="39" borderId="88" xfId="0" applyFont="1" applyFill="1" applyBorder="1"/>
    <xf numFmtId="0" fontId="58" fillId="0" borderId="88" xfId="0" applyFont="1" applyBorder="1"/>
    <xf numFmtId="3" fontId="58" fillId="4" borderId="88" xfId="0" applyNumberFormat="1" applyFont="1" applyFill="1" applyBorder="1"/>
    <xf numFmtId="4" fontId="58" fillId="40" borderId="78" xfId="0" applyNumberFormat="1" applyFont="1" applyFill="1" applyBorder="1" applyProtection="1">
      <protection locked="0"/>
    </xf>
    <xf numFmtId="4" fontId="58" fillId="40" borderId="88" xfId="0" applyNumberFormat="1" applyFont="1" applyFill="1" applyBorder="1" applyProtection="1">
      <protection locked="0"/>
    </xf>
    <xf numFmtId="4" fontId="59" fillId="36" borderId="92" xfId="0" applyNumberFormat="1" applyFont="1" applyFill="1" applyBorder="1"/>
    <xf numFmtId="4" fontId="59" fillId="36" borderId="88" xfId="0" applyNumberFormat="1" applyFont="1" applyFill="1" applyBorder="1"/>
    <xf numFmtId="4" fontId="58" fillId="40" borderId="27" xfId="0" applyNumberFormat="1" applyFont="1" applyFill="1" applyBorder="1" applyProtection="1">
      <protection locked="0"/>
    </xf>
    <xf numFmtId="4" fontId="59" fillId="36" borderId="27" xfId="0" applyNumberFormat="1" applyFont="1" applyFill="1" applyBorder="1"/>
    <xf numFmtId="0" fontId="58" fillId="50" borderId="12" xfId="0" applyFont="1" applyFill="1" applyBorder="1"/>
    <xf numFmtId="3" fontId="58" fillId="4" borderId="12" xfId="0" applyNumberFormat="1" applyFont="1" applyFill="1" applyBorder="1"/>
    <xf numFmtId="4" fontId="58" fillId="40" borderId="47" xfId="0" applyNumberFormat="1" applyFont="1" applyFill="1" applyBorder="1" applyProtection="1">
      <protection locked="0"/>
    </xf>
    <xf numFmtId="4" fontId="58" fillId="40" borderId="12" xfId="0" applyNumberFormat="1" applyFont="1" applyFill="1" applyBorder="1" applyProtection="1">
      <protection locked="0"/>
    </xf>
    <xf numFmtId="4" fontId="58" fillId="40" borderId="52" xfId="0" applyNumberFormat="1" applyFont="1" applyFill="1" applyBorder="1" applyProtection="1">
      <protection locked="0"/>
    </xf>
    <xf numFmtId="4" fontId="59" fillId="36" borderId="52" xfId="0" applyNumberFormat="1" applyFont="1" applyFill="1" applyBorder="1"/>
    <xf numFmtId="4" fontId="58" fillId="40" borderId="44" xfId="0" applyNumberFormat="1" applyFont="1" applyFill="1" applyBorder="1" applyProtection="1">
      <protection locked="0"/>
    </xf>
    <xf numFmtId="4" fontId="58" fillId="40" borderId="2" xfId="0" applyNumberFormat="1" applyFont="1" applyFill="1" applyBorder="1" applyProtection="1">
      <protection locked="0"/>
    </xf>
    <xf numFmtId="0" fontId="58" fillId="36" borderId="88" xfId="0" applyFont="1" applyFill="1" applyBorder="1"/>
    <xf numFmtId="4" fontId="58" fillId="40" borderId="92" xfId="0" applyNumberFormat="1" applyFont="1" applyFill="1" applyBorder="1" applyProtection="1">
      <protection locked="0"/>
    </xf>
    <xf numFmtId="0" fontId="58" fillId="35" borderId="88" xfId="0" applyFont="1" applyFill="1" applyBorder="1"/>
    <xf numFmtId="4" fontId="58" fillId="40" borderId="77" xfId="0" applyNumberFormat="1" applyFont="1" applyFill="1" applyBorder="1" applyProtection="1">
      <protection locked="0"/>
    </xf>
    <xf numFmtId="4" fontId="58" fillId="40" borderId="42" xfId="0" applyNumberFormat="1" applyFont="1" applyFill="1" applyBorder="1" applyProtection="1">
      <protection locked="0"/>
    </xf>
    <xf numFmtId="4" fontId="58" fillId="40" borderId="39" xfId="0" applyNumberFormat="1" applyFont="1" applyFill="1" applyBorder="1" applyProtection="1">
      <protection locked="0"/>
    </xf>
    <xf numFmtId="0" fontId="58" fillId="21" borderId="88" xfId="0" applyFont="1" applyFill="1" applyBorder="1"/>
    <xf numFmtId="4" fontId="58" fillId="40" borderId="80" xfId="0" applyNumberFormat="1" applyFont="1" applyFill="1" applyBorder="1" applyProtection="1">
      <protection locked="0"/>
    </xf>
    <xf numFmtId="0" fontId="58" fillId="48" borderId="11" xfId="0" applyFont="1" applyFill="1" applyBorder="1"/>
    <xf numFmtId="0" fontId="58" fillId="48" borderId="88" xfId="0" applyFont="1" applyFill="1" applyBorder="1"/>
    <xf numFmtId="4" fontId="58" fillId="40" borderId="45" xfId="0" applyNumberFormat="1" applyFont="1" applyFill="1" applyBorder="1" applyProtection="1">
      <protection locked="0"/>
    </xf>
    <xf numFmtId="0" fontId="58" fillId="56" borderId="88" xfId="0" applyFont="1" applyFill="1" applyBorder="1"/>
    <xf numFmtId="0" fontId="58" fillId="3" borderId="33" xfId="0" applyFont="1" applyFill="1" applyBorder="1"/>
    <xf numFmtId="0" fontId="58" fillId="16" borderId="27" xfId="0" applyFont="1" applyFill="1" applyBorder="1" applyAlignment="1">
      <alignment horizontal="left" textRotation="90" wrapText="1"/>
    </xf>
    <xf numFmtId="0" fontId="58" fillId="36" borderId="6" xfId="0" applyFont="1" applyFill="1" applyBorder="1" applyAlignment="1">
      <alignment horizontal="left" textRotation="90" wrapText="1"/>
    </xf>
    <xf numFmtId="0" fontId="58" fillId="36" borderId="2" xfId="0" applyFont="1" applyFill="1" applyBorder="1" applyAlignment="1">
      <alignment horizontal="left" textRotation="90" wrapText="1"/>
    </xf>
    <xf numFmtId="0" fontId="164" fillId="35" borderId="43" xfId="0" applyFont="1" applyFill="1" applyBorder="1" applyAlignment="1">
      <alignment horizontal="center" textRotation="90" wrapText="1"/>
    </xf>
    <xf numFmtId="0" fontId="58" fillId="39" borderId="6" xfId="0" applyFont="1" applyFill="1" applyBorder="1" applyAlignment="1">
      <alignment horizontal="left" textRotation="90" wrapText="1"/>
    </xf>
    <xf numFmtId="164" fontId="67" fillId="31" borderId="28" xfId="0" applyNumberFormat="1" applyFont="1" applyFill="1" applyBorder="1"/>
    <xf numFmtId="164" fontId="67" fillId="31" borderId="54" xfId="0" applyNumberFormat="1" applyFont="1" applyFill="1" applyBorder="1"/>
    <xf numFmtId="1" fontId="59" fillId="3" borderId="34" xfId="0" applyNumberFormat="1" applyFont="1" applyFill="1" applyBorder="1"/>
    <xf numFmtId="1" fontId="59" fillId="3" borderId="25" xfId="0" applyNumberFormat="1" applyFont="1" applyFill="1" applyBorder="1"/>
    <xf numFmtId="1" fontId="59" fillId="36" borderId="17" xfId="0" applyNumberFormat="1" applyFont="1" applyFill="1" applyBorder="1"/>
    <xf numFmtId="164" fontId="59" fillId="36" borderId="44" xfId="0" applyNumberFormat="1" applyFont="1" applyFill="1" applyBorder="1"/>
    <xf numFmtId="1" fontId="58" fillId="50" borderId="44" xfId="0" applyNumberFormat="1" applyFont="1" applyFill="1" applyBorder="1"/>
    <xf numFmtId="164" fontId="59" fillId="36" borderId="29" xfId="0" applyNumberFormat="1" applyFont="1" applyFill="1" applyBorder="1"/>
    <xf numFmtId="1" fontId="58" fillId="50" borderId="6" xfId="0" applyNumberFormat="1" applyFont="1" applyFill="1" applyBorder="1"/>
    <xf numFmtId="1" fontId="58" fillId="50" borderId="1" xfId="0" applyNumberFormat="1" applyFont="1" applyFill="1" applyBorder="1"/>
    <xf numFmtId="1" fontId="58" fillId="50" borderId="27" xfId="0" applyNumberFormat="1" applyFont="1" applyFill="1" applyBorder="1"/>
    <xf numFmtId="1" fontId="58" fillId="10" borderId="26" xfId="0" applyNumberFormat="1" applyFont="1" applyFill="1" applyBorder="1"/>
    <xf numFmtId="1" fontId="58" fillId="6" borderId="6" xfId="0" applyNumberFormat="1" applyFont="1" applyFill="1" applyBorder="1"/>
    <xf numFmtId="164" fontId="59" fillId="36" borderId="40" xfId="0" applyNumberFormat="1" applyFont="1" applyFill="1" applyBorder="1"/>
    <xf numFmtId="1" fontId="58" fillId="50" borderId="41" xfId="0" applyNumberFormat="1" applyFont="1" applyFill="1" applyBorder="1"/>
    <xf numFmtId="1" fontId="58" fillId="50" borderId="21" xfId="0" applyNumberFormat="1" applyFont="1" applyFill="1" applyBorder="1"/>
    <xf numFmtId="1" fontId="58" fillId="50" borderId="40" xfId="0" applyNumberFormat="1" applyFont="1" applyFill="1" applyBorder="1"/>
    <xf numFmtId="1" fontId="58" fillId="10" borderId="56" xfId="0" applyNumberFormat="1" applyFont="1" applyFill="1" applyBorder="1"/>
    <xf numFmtId="1" fontId="58" fillId="6" borderId="41" xfId="0" applyNumberFormat="1" applyFont="1" applyFill="1" applyBorder="1"/>
    <xf numFmtId="164" fontId="59" fillId="39" borderId="21" xfId="0" applyNumberFormat="1" applyFont="1" applyFill="1" applyBorder="1"/>
    <xf numFmtId="1" fontId="58" fillId="50" borderId="8" xfId="0" applyNumberFormat="1" applyFont="1" applyFill="1" applyBorder="1"/>
    <xf numFmtId="1" fontId="58" fillId="50" borderId="9" xfId="0" applyNumberFormat="1" applyFont="1" applyFill="1" applyBorder="1"/>
    <xf numFmtId="1" fontId="58" fillId="50" borderId="29" xfId="0" applyNumberFormat="1" applyFont="1" applyFill="1" applyBorder="1"/>
    <xf numFmtId="1" fontId="58" fillId="10" borderId="55" xfId="0" applyNumberFormat="1" applyFont="1" applyFill="1" applyBorder="1"/>
    <xf numFmtId="1" fontId="58" fillId="6" borderId="8" xfId="0" applyNumberFormat="1" applyFont="1" applyFill="1" applyBorder="1"/>
    <xf numFmtId="164" fontId="59" fillId="36" borderId="27" xfId="0" applyNumberFormat="1" applyFont="1" applyFill="1" applyBorder="1"/>
    <xf numFmtId="164" fontId="59" fillId="39" borderId="1" xfId="0" applyNumberFormat="1" applyFont="1" applyFill="1" applyBorder="1"/>
    <xf numFmtId="164" fontId="59" fillId="36" borderId="49" xfId="0" applyNumberFormat="1" applyFont="1" applyFill="1" applyBorder="1"/>
    <xf numFmtId="1" fontId="58" fillId="50" borderId="50" xfId="0" applyNumberFormat="1" applyFont="1" applyFill="1" applyBorder="1"/>
    <xf numFmtId="1" fontId="58" fillId="50" borderId="22" xfId="0" applyNumberFormat="1" applyFont="1" applyFill="1" applyBorder="1"/>
    <xf numFmtId="1" fontId="58" fillId="50" borderId="49" xfId="0" applyNumberFormat="1" applyFont="1" applyFill="1" applyBorder="1"/>
    <xf numFmtId="1" fontId="58" fillId="10" borderId="60" xfId="0" applyNumberFormat="1" applyFont="1" applyFill="1" applyBorder="1"/>
    <xf numFmtId="1" fontId="58" fillId="6" borderId="50" xfId="0" applyNumberFormat="1" applyFont="1" applyFill="1" applyBorder="1"/>
    <xf numFmtId="164" fontId="59" fillId="39" borderId="22" xfId="0" applyNumberFormat="1" applyFont="1" applyFill="1" applyBorder="1"/>
    <xf numFmtId="1" fontId="58" fillId="50" borderId="15" xfId="0" applyNumberFormat="1" applyFont="1" applyFill="1" applyBorder="1"/>
    <xf numFmtId="1" fontId="58" fillId="50" borderId="11" xfId="0" applyNumberFormat="1" applyFont="1" applyFill="1" applyBorder="1"/>
    <xf numFmtId="1" fontId="58" fillId="50" borderId="53" xfId="0" applyNumberFormat="1" applyFont="1" applyFill="1" applyBorder="1"/>
    <xf numFmtId="0" fontId="58" fillId="43" borderId="34" xfId="0" applyFont="1" applyFill="1" applyBorder="1"/>
    <xf numFmtId="164" fontId="59" fillId="36" borderId="39" xfId="0" applyNumberFormat="1" applyFont="1" applyFill="1" applyBorder="1"/>
    <xf numFmtId="1" fontId="58" fillId="50" borderId="42" xfId="0" applyNumberFormat="1" applyFont="1" applyFill="1" applyBorder="1"/>
    <xf numFmtId="1" fontId="58" fillId="50" borderId="34" xfId="0" applyNumberFormat="1" applyFont="1" applyFill="1" applyBorder="1"/>
    <xf numFmtId="1" fontId="58" fillId="50" borderId="39" xfId="0" applyNumberFormat="1" applyFont="1" applyFill="1" applyBorder="1"/>
    <xf numFmtId="1" fontId="58" fillId="10" borderId="25" xfId="0" applyNumberFormat="1" applyFont="1" applyFill="1" applyBorder="1"/>
    <xf numFmtId="1" fontId="58" fillId="6" borderId="42" xfId="0" applyNumberFormat="1" applyFont="1" applyFill="1" applyBorder="1"/>
    <xf numFmtId="0" fontId="74" fillId="7" borderId="6" xfId="0" applyFont="1" applyFill="1" applyBorder="1" applyAlignment="1">
      <alignment horizontal="center"/>
    </xf>
    <xf numFmtId="0" fontId="74" fillId="39" borderId="1" xfId="0" applyFont="1" applyFill="1" applyBorder="1" applyAlignment="1"/>
    <xf numFmtId="165" fontId="124" fillId="0" borderId="0" xfId="0" applyNumberFormat="1" applyFont="1"/>
    <xf numFmtId="0" fontId="144" fillId="0" borderId="0" xfId="0" applyFont="1" applyBorder="1"/>
    <xf numFmtId="0" fontId="58" fillId="7" borderId="82" xfId="0" applyFont="1" applyFill="1" applyBorder="1" applyAlignment="1">
      <alignment vertical="center" wrapText="1"/>
    </xf>
    <xf numFmtId="0" fontId="58" fillId="31" borderId="27" xfId="0" applyFont="1" applyFill="1" applyBorder="1"/>
    <xf numFmtId="0" fontId="58" fillId="16" borderId="1" xfId="0" applyFont="1" applyFill="1" applyBorder="1" applyAlignment="1">
      <alignment horizontal="center" textRotation="90" wrapText="1"/>
    </xf>
    <xf numFmtId="0" fontId="58" fillId="0" borderId="1" xfId="0" applyFont="1" applyFill="1" applyBorder="1" applyAlignment="1">
      <alignment horizontal="center" textRotation="90" wrapText="1"/>
    </xf>
    <xf numFmtId="0" fontId="58" fillId="7" borderId="1" xfId="0" applyFont="1" applyFill="1" applyBorder="1" applyAlignment="1">
      <alignment horizontal="center" textRotation="90" wrapText="1"/>
    </xf>
    <xf numFmtId="0" fontId="58" fillId="46" borderId="1" xfId="0" applyFont="1" applyFill="1" applyBorder="1" applyAlignment="1">
      <alignment horizontal="center" textRotation="90" wrapText="1"/>
    </xf>
    <xf numFmtId="0" fontId="58" fillId="9" borderId="1" xfId="0" applyFont="1" applyFill="1" applyBorder="1" applyAlignment="1">
      <alignment horizontal="center" textRotation="90" wrapText="1"/>
    </xf>
    <xf numFmtId="0" fontId="58" fillId="8" borderId="27" xfId="0" applyFont="1" applyFill="1" applyBorder="1" applyAlignment="1">
      <alignment horizontal="center" textRotation="90" wrapText="1"/>
    </xf>
    <xf numFmtId="0" fontId="58" fillId="0" borderId="6" xfId="0" applyFont="1" applyFill="1" applyBorder="1" applyAlignment="1">
      <alignment horizontal="center" textRotation="90" wrapText="1"/>
    </xf>
    <xf numFmtId="0" fontId="58" fillId="0" borderId="27" xfId="0" applyFont="1" applyFill="1" applyBorder="1" applyAlignment="1">
      <alignment horizontal="center" textRotation="90" wrapText="1"/>
    </xf>
    <xf numFmtId="0" fontId="58" fillId="7" borderId="82" xfId="0" applyFont="1" applyFill="1" applyBorder="1" applyAlignment="1">
      <alignment horizontal="center" textRotation="90" wrapText="1"/>
    </xf>
    <xf numFmtId="0" fontId="58" fillId="9" borderId="83" xfId="0" applyFont="1" applyFill="1" applyBorder="1" applyAlignment="1">
      <alignment horizontal="center" textRotation="90" wrapText="1"/>
    </xf>
    <xf numFmtId="0" fontId="58" fillId="46" borderId="27" xfId="0" applyFont="1" applyFill="1" applyBorder="1" applyAlignment="1">
      <alignment horizontal="center" textRotation="90" wrapText="1"/>
    </xf>
    <xf numFmtId="0" fontId="58" fillId="8" borderId="83" xfId="0" applyFont="1" applyFill="1" applyBorder="1" applyAlignment="1">
      <alignment horizontal="center" textRotation="90" wrapText="1"/>
    </xf>
    <xf numFmtId="0" fontId="58" fillId="8" borderId="1" xfId="0" applyFont="1" applyFill="1" applyBorder="1" applyAlignment="1">
      <alignment horizontal="center" textRotation="90" wrapText="1"/>
    </xf>
    <xf numFmtId="0" fontId="89" fillId="8" borderId="1" xfId="0" applyFont="1" applyFill="1" applyBorder="1" applyAlignment="1">
      <alignment horizontal="center" textRotation="90" wrapText="1"/>
    </xf>
    <xf numFmtId="0" fontId="89" fillId="8" borderId="27" xfId="0" applyFont="1" applyFill="1" applyBorder="1" applyAlignment="1">
      <alignment horizontal="center" textRotation="90" wrapText="1"/>
    </xf>
    <xf numFmtId="0" fontId="58" fillId="16" borderId="83" xfId="0" applyFont="1" applyFill="1" applyBorder="1" applyAlignment="1">
      <alignment horizontal="center" textRotation="90" wrapText="1"/>
    </xf>
    <xf numFmtId="0" fontId="58" fillId="16" borderId="27" xfId="0" applyFont="1" applyFill="1" applyBorder="1" applyAlignment="1">
      <alignment horizontal="center" textRotation="90" wrapText="1"/>
    </xf>
    <xf numFmtId="0" fontId="58" fillId="0" borderId="83" xfId="0" applyFont="1" applyFill="1" applyBorder="1" applyAlignment="1">
      <alignment horizontal="center" textRotation="90" wrapText="1"/>
    </xf>
    <xf numFmtId="0" fontId="58" fillId="3" borderId="83" xfId="0" applyFont="1" applyFill="1" applyBorder="1" applyAlignment="1">
      <alignment horizontal="center" textRotation="90" wrapText="1"/>
    </xf>
    <xf numFmtId="0" fontId="58" fillId="3" borderId="1" xfId="0" applyFont="1" applyFill="1" applyBorder="1" applyAlignment="1">
      <alignment horizontal="center" textRotation="90" wrapText="1"/>
    </xf>
    <xf numFmtId="0" fontId="58" fillId="3" borderId="27" xfId="0" applyFont="1" applyFill="1" applyBorder="1" applyAlignment="1">
      <alignment horizontal="center" textRotation="90" wrapText="1"/>
    </xf>
    <xf numFmtId="164" fontId="67" fillId="31" borderId="60" xfId="0" applyNumberFormat="1" applyFont="1" applyFill="1" applyBorder="1"/>
    <xf numFmtId="164" fontId="59" fillId="3" borderId="34" xfId="0" applyNumberFormat="1" applyFont="1" applyFill="1" applyBorder="1"/>
    <xf numFmtId="164" fontId="59" fillId="3" borderId="39" xfId="0" applyNumberFormat="1" applyFont="1" applyFill="1" applyBorder="1"/>
    <xf numFmtId="164" fontId="59" fillId="3" borderId="42" xfId="0" applyNumberFormat="1" applyFont="1" applyFill="1" applyBorder="1"/>
    <xf numFmtId="164" fontId="59" fillId="3" borderId="25" xfId="0" applyNumberFormat="1" applyFont="1" applyFill="1" applyBorder="1"/>
    <xf numFmtId="164" fontId="59" fillId="0" borderId="17" xfId="0" applyNumberFormat="1" applyFont="1" applyFill="1" applyBorder="1"/>
    <xf numFmtId="2" fontId="59" fillId="36" borderId="17" xfId="0" applyNumberFormat="1" applyFont="1" applyFill="1" applyBorder="1"/>
    <xf numFmtId="164" fontId="58" fillId="60" borderId="44" xfId="3" applyNumberFormat="1" applyFont="1" applyFill="1" applyBorder="1" applyProtection="1">
      <protection locked="0"/>
    </xf>
    <xf numFmtId="164" fontId="58" fillId="60" borderId="38" xfId="3" applyNumberFormat="1" applyFont="1" applyFill="1" applyBorder="1" applyProtection="1">
      <protection locked="0"/>
    </xf>
    <xf numFmtId="164" fontId="58" fillId="60" borderId="17" xfId="3" applyNumberFormat="1" applyFont="1" applyFill="1" applyBorder="1" applyProtection="1">
      <protection locked="0"/>
    </xf>
    <xf numFmtId="1" fontId="59" fillId="36" borderId="38" xfId="0" applyNumberFormat="1" applyFont="1" applyFill="1" applyBorder="1"/>
    <xf numFmtId="1" fontId="59" fillId="36" borderId="44" xfId="0" applyNumberFormat="1" applyFont="1" applyFill="1" applyBorder="1"/>
    <xf numFmtId="164" fontId="59" fillId="36" borderId="38" xfId="0" applyNumberFormat="1" applyFont="1" applyFill="1" applyBorder="1"/>
    <xf numFmtId="164" fontId="59" fillId="0" borderId="1" xfId="0" applyNumberFormat="1" applyFont="1" applyFill="1" applyBorder="1"/>
    <xf numFmtId="164" fontId="58" fillId="60" borderId="27" xfId="3" applyNumberFormat="1" applyFont="1" applyFill="1" applyBorder="1" applyProtection="1">
      <protection locked="0"/>
    </xf>
    <xf numFmtId="164" fontId="58" fillId="10" borderId="82" xfId="0" applyNumberFormat="1" applyFont="1" applyFill="1" applyBorder="1" applyProtection="1">
      <protection locked="0"/>
    </xf>
    <xf numFmtId="164" fontId="58" fillId="60" borderId="83" xfId="3" applyNumberFormat="1" applyFont="1" applyFill="1" applyBorder="1" applyProtection="1">
      <protection locked="0"/>
    </xf>
    <xf numFmtId="164" fontId="58" fillId="60" borderId="1" xfId="3" applyNumberFormat="1" applyFont="1" applyFill="1" applyBorder="1" applyProtection="1">
      <protection locked="0"/>
    </xf>
    <xf numFmtId="1" fontId="59" fillId="36" borderId="83" xfId="0" applyNumberFormat="1" applyFont="1" applyFill="1" applyBorder="1"/>
    <xf numFmtId="1" fontId="59" fillId="36" borderId="27" xfId="0" applyNumberFormat="1" applyFont="1" applyFill="1" applyBorder="1"/>
    <xf numFmtId="164" fontId="59" fillId="36" borderId="83" xfId="0" applyNumberFormat="1" applyFont="1" applyFill="1" applyBorder="1"/>
    <xf numFmtId="2" fontId="59" fillId="36" borderId="70" xfId="0" applyNumberFormat="1" applyFont="1" applyFill="1" applyBorder="1"/>
    <xf numFmtId="164" fontId="58" fillId="60" borderId="69" xfId="3" applyNumberFormat="1" applyFont="1" applyFill="1" applyBorder="1" applyProtection="1">
      <protection locked="0"/>
    </xf>
    <xf numFmtId="164" fontId="58" fillId="10" borderId="79" xfId="0" applyNumberFormat="1" applyFont="1" applyFill="1" applyBorder="1" applyProtection="1">
      <protection locked="0"/>
    </xf>
    <xf numFmtId="164" fontId="58" fillId="60" borderId="78" xfId="3" applyNumberFormat="1" applyFont="1" applyFill="1" applyBorder="1" applyProtection="1">
      <protection locked="0"/>
    </xf>
    <xf numFmtId="164" fontId="58" fillId="60" borderId="70" xfId="3" applyNumberFormat="1" applyFont="1" applyFill="1" applyBorder="1" applyProtection="1">
      <protection locked="0"/>
    </xf>
    <xf numFmtId="1" fontId="59" fillId="36" borderId="78" xfId="0" applyNumberFormat="1" applyFont="1" applyFill="1" applyBorder="1"/>
    <xf numFmtId="1" fontId="59" fillId="36" borderId="70" xfId="0" applyNumberFormat="1" applyFont="1" applyFill="1" applyBorder="1"/>
    <xf numFmtId="1" fontId="59" fillId="36" borderId="69" xfId="0" applyNumberFormat="1" applyFont="1" applyFill="1" applyBorder="1"/>
    <xf numFmtId="164" fontId="59" fillId="36" borderId="78" xfId="0" applyNumberFormat="1" applyFont="1" applyFill="1" applyBorder="1"/>
    <xf numFmtId="164" fontId="59" fillId="36" borderId="69" xfId="0" applyNumberFormat="1" applyFont="1" applyFill="1" applyBorder="1"/>
    <xf numFmtId="0" fontId="58" fillId="58" borderId="17" xfId="0" applyFont="1" applyFill="1" applyBorder="1"/>
    <xf numFmtId="0" fontId="58" fillId="58" borderId="1" xfId="0" applyFont="1" applyFill="1" applyBorder="1"/>
    <xf numFmtId="0" fontId="58" fillId="58" borderId="70" xfId="0" applyFont="1" applyFill="1" applyBorder="1"/>
    <xf numFmtId="164" fontId="58" fillId="60" borderId="40" xfId="3" applyNumberFormat="1" applyFont="1" applyFill="1" applyBorder="1" applyProtection="1">
      <protection locked="0"/>
    </xf>
    <xf numFmtId="164" fontId="58" fillId="60" borderId="39" xfId="3" applyNumberFormat="1" applyFont="1" applyFill="1" applyBorder="1" applyProtection="1">
      <protection locked="0"/>
    </xf>
    <xf numFmtId="164" fontId="58" fillId="60" borderId="42" xfId="3" applyNumberFormat="1" applyFont="1" applyFill="1" applyBorder="1" applyProtection="1">
      <protection locked="0"/>
    </xf>
    <xf numFmtId="164" fontId="58" fillId="60" borderId="34" xfId="3" applyNumberFormat="1" applyFont="1" applyFill="1" applyBorder="1" applyProtection="1">
      <protection locked="0"/>
    </xf>
    <xf numFmtId="1" fontId="59" fillId="36" borderId="39" xfId="0" applyNumberFormat="1" applyFont="1" applyFill="1" applyBorder="1"/>
    <xf numFmtId="164" fontId="59" fillId="36" borderId="42" xfId="0" applyNumberFormat="1" applyFont="1" applyFill="1" applyBorder="1"/>
    <xf numFmtId="164" fontId="58" fillId="59" borderId="1" xfId="0" applyNumberFormat="1" applyFont="1" applyFill="1" applyBorder="1" applyProtection="1">
      <protection locked="0"/>
    </xf>
    <xf numFmtId="164" fontId="58" fillId="59" borderId="17" xfId="0" applyNumberFormat="1" applyFont="1" applyFill="1" applyBorder="1" applyProtection="1">
      <protection locked="0"/>
    </xf>
    <xf numFmtId="164" fontId="58" fillId="59" borderId="70" xfId="0" applyNumberFormat="1" applyFont="1" applyFill="1" applyBorder="1" applyProtection="1">
      <protection locked="0"/>
    </xf>
    <xf numFmtId="164" fontId="58" fillId="59" borderId="34" xfId="0" applyNumberFormat="1" applyFont="1" applyFill="1" applyBorder="1" applyProtection="1">
      <protection locked="0"/>
    </xf>
    <xf numFmtId="164" fontId="58" fillId="59" borderId="38" xfId="0" applyNumberFormat="1" applyFont="1" applyFill="1" applyBorder="1" applyProtection="1">
      <protection locked="0"/>
    </xf>
    <xf numFmtId="164" fontId="58" fillId="59" borderId="83" xfId="0" applyNumberFormat="1" applyFont="1" applyFill="1" applyBorder="1" applyProtection="1">
      <protection locked="0"/>
    </xf>
    <xf numFmtId="164" fontId="58" fillId="59" borderId="78" xfId="0" applyNumberFormat="1" applyFont="1" applyFill="1" applyBorder="1" applyProtection="1">
      <protection locked="0"/>
    </xf>
    <xf numFmtId="164" fontId="58" fillId="59" borderId="42" xfId="0" applyNumberFormat="1" applyFont="1" applyFill="1" applyBorder="1" applyProtection="1">
      <protection locked="0"/>
    </xf>
    <xf numFmtId="0" fontId="58" fillId="13" borderId="1" xfId="0" applyFont="1" applyFill="1" applyBorder="1" applyAlignment="1">
      <alignment horizontal="left" textRotation="90" wrapText="1"/>
    </xf>
    <xf numFmtId="0" fontId="58" fillId="32" borderId="1" xfId="0" applyFont="1" applyFill="1" applyBorder="1" applyAlignment="1">
      <alignment horizontal="left" textRotation="90" wrapText="1"/>
    </xf>
    <xf numFmtId="3" fontId="58" fillId="3" borderId="12" xfId="0" applyNumberFormat="1" applyFont="1" applyFill="1" applyBorder="1"/>
    <xf numFmtId="3" fontId="58" fillId="0" borderId="2" xfId="0" applyNumberFormat="1" applyFont="1" applyFill="1" applyBorder="1"/>
    <xf numFmtId="4" fontId="58" fillId="6" borderId="1" xfId="0" applyNumberFormat="1" applyFont="1" applyFill="1" applyBorder="1"/>
    <xf numFmtId="4" fontId="58" fillId="36" borderId="1" xfId="0" applyNumberFormat="1" applyFont="1" applyFill="1" applyBorder="1"/>
    <xf numFmtId="2" fontId="58" fillId="6" borderId="61" xfId="0" applyNumberFormat="1" applyFont="1" applyFill="1" applyBorder="1" applyAlignment="1">
      <alignment horizontal="right" vertical="top"/>
    </xf>
    <xf numFmtId="2" fontId="58" fillId="6" borderId="62" xfId="0" applyNumberFormat="1" applyFont="1" applyFill="1" applyBorder="1" applyAlignment="1">
      <alignment horizontal="right" vertical="top"/>
    </xf>
    <xf numFmtId="4" fontId="58" fillId="10" borderId="1" xfId="0" applyNumberFormat="1" applyFont="1" applyFill="1" applyBorder="1"/>
    <xf numFmtId="3" fontId="58" fillId="10" borderId="1" xfId="0" applyNumberFormat="1" applyFont="1" applyFill="1" applyBorder="1"/>
    <xf numFmtId="0" fontId="58" fillId="6" borderId="61" xfId="0" applyNumberFormat="1" applyFont="1" applyFill="1" applyBorder="1" applyAlignment="1">
      <alignment vertical="top"/>
    </xf>
    <xf numFmtId="0" fontId="58" fillId="6" borderId="62" xfId="0" applyNumberFormat="1" applyFont="1" applyFill="1" applyBorder="1" applyAlignment="1">
      <alignment vertical="top"/>
    </xf>
    <xf numFmtId="164" fontId="58" fillId="6" borderId="61" xfId="0" applyNumberFormat="1" applyFont="1" applyFill="1" applyBorder="1" applyAlignment="1">
      <alignment horizontal="right" vertical="top"/>
    </xf>
    <xf numFmtId="164" fontId="58" fillId="6" borderId="62" xfId="0" applyNumberFormat="1" applyFont="1" applyFill="1" applyBorder="1" applyAlignment="1">
      <alignment horizontal="right" vertical="top"/>
    </xf>
    <xf numFmtId="1" fontId="58" fillId="6" borderId="62" xfId="0" applyNumberFormat="1" applyFont="1" applyFill="1" applyBorder="1" applyAlignment="1">
      <alignment horizontal="right" vertical="top"/>
    </xf>
    <xf numFmtId="1" fontId="58" fillId="6" borderId="61" xfId="0" applyNumberFormat="1" applyFont="1" applyFill="1" applyBorder="1" applyAlignment="1">
      <alignment horizontal="right" vertical="top"/>
    </xf>
    <xf numFmtId="3" fontId="58" fillId="0" borderId="32" xfId="0" applyNumberFormat="1" applyFont="1" applyFill="1" applyBorder="1"/>
    <xf numFmtId="4" fontId="58" fillId="6" borderId="21" xfId="0" applyNumberFormat="1" applyFont="1" applyFill="1" applyBorder="1"/>
    <xf numFmtId="4" fontId="58" fillId="36" borderId="21" xfId="0" applyNumberFormat="1" applyFont="1" applyFill="1" applyBorder="1"/>
    <xf numFmtId="2" fontId="58" fillId="6" borderId="65" xfId="0" applyNumberFormat="1" applyFont="1" applyFill="1" applyBorder="1" applyAlignment="1">
      <alignment horizontal="right" vertical="top"/>
    </xf>
    <xf numFmtId="2" fontId="58" fillId="6" borderId="66" xfId="0" applyNumberFormat="1" applyFont="1" applyFill="1" applyBorder="1" applyAlignment="1">
      <alignment horizontal="right" vertical="top"/>
    </xf>
    <xf numFmtId="4" fontId="58" fillId="10" borderId="21" xfId="0" applyNumberFormat="1" applyFont="1" applyFill="1" applyBorder="1"/>
    <xf numFmtId="3" fontId="58" fillId="10" borderId="21" xfId="0" applyNumberFormat="1" applyFont="1" applyFill="1" applyBorder="1"/>
    <xf numFmtId="3" fontId="58" fillId="0" borderId="3" xfId="0" applyNumberFormat="1" applyFont="1" applyFill="1" applyBorder="1"/>
    <xf numFmtId="4" fontId="58" fillId="6" borderId="9" xfId="0" applyNumberFormat="1" applyFont="1" applyFill="1" applyBorder="1"/>
    <xf numFmtId="0" fontId="58" fillId="6" borderId="67" xfId="0" applyNumberFormat="1" applyFont="1" applyFill="1" applyBorder="1" applyAlignment="1">
      <alignment vertical="top"/>
    </xf>
    <xf numFmtId="0" fontId="58" fillId="6" borderId="64" xfId="0" applyNumberFormat="1" applyFont="1" applyFill="1" applyBorder="1" applyAlignment="1">
      <alignment vertical="top"/>
    </xf>
    <xf numFmtId="4" fontId="58" fillId="10" borderId="9" xfId="0" applyNumberFormat="1" applyFont="1" applyFill="1" applyBorder="1"/>
    <xf numFmtId="3" fontId="58" fillId="10" borderId="9" xfId="0" applyNumberFormat="1" applyFont="1" applyFill="1" applyBorder="1"/>
    <xf numFmtId="3" fontId="58" fillId="0" borderId="58" xfId="0" applyNumberFormat="1" applyFont="1" applyFill="1" applyBorder="1"/>
    <xf numFmtId="4" fontId="58" fillId="6" borderId="22" xfId="0" applyNumberFormat="1" applyFont="1" applyFill="1" applyBorder="1"/>
    <xf numFmtId="0" fontId="58" fillId="6" borderId="65" xfId="0" applyNumberFormat="1" applyFont="1" applyFill="1" applyBorder="1" applyAlignment="1">
      <alignment vertical="top"/>
    </xf>
    <xf numFmtId="0" fontId="58" fillId="6" borderId="66" xfId="0" applyNumberFormat="1" applyFont="1" applyFill="1" applyBorder="1" applyAlignment="1">
      <alignment vertical="top"/>
    </xf>
    <xf numFmtId="4" fontId="58" fillId="10" borderId="22" xfId="0" applyNumberFormat="1" applyFont="1" applyFill="1" applyBorder="1"/>
    <xf numFmtId="3" fontId="58" fillId="10" borderId="22" xfId="0" applyNumberFormat="1" applyFont="1" applyFill="1" applyBorder="1"/>
    <xf numFmtId="1" fontId="58" fillId="6" borderId="67" xfId="0" applyNumberFormat="1" applyFont="1" applyFill="1" applyBorder="1" applyAlignment="1">
      <alignment horizontal="right" vertical="top"/>
    </xf>
    <xf numFmtId="1" fontId="58" fillId="6" borderId="64" xfId="0" applyNumberFormat="1" applyFont="1" applyFill="1" applyBorder="1" applyAlignment="1">
      <alignment horizontal="right" vertical="top"/>
    </xf>
    <xf numFmtId="1" fontId="58" fillId="6" borderId="65" xfId="0" applyNumberFormat="1" applyFont="1" applyFill="1" applyBorder="1" applyAlignment="1">
      <alignment horizontal="right" vertical="top"/>
    </xf>
    <xf numFmtId="164" fontId="58" fillId="6" borderId="66" xfId="0" applyNumberFormat="1" applyFont="1" applyFill="1" applyBorder="1" applyAlignment="1">
      <alignment horizontal="right" vertical="top"/>
    </xf>
    <xf numFmtId="2" fontId="58" fillId="6" borderId="67" xfId="0" applyNumberFormat="1" applyFont="1" applyFill="1" applyBorder="1" applyAlignment="1">
      <alignment horizontal="right" vertical="top"/>
    </xf>
    <xf numFmtId="2" fontId="58" fillId="6" borderId="64" xfId="0" applyNumberFormat="1" applyFont="1" applyFill="1" applyBorder="1" applyAlignment="1">
      <alignment horizontal="right" vertical="top"/>
    </xf>
    <xf numFmtId="3" fontId="58" fillId="0" borderId="35" xfId="0" applyNumberFormat="1" applyFont="1" applyFill="1" applyBorder="1"/>
    <xf numFmtId="4" fontId="58" fillId="6" borderId="34" xfId="0" applyNumberFormat="1" applyFont="1" applyFill="1" applyBorder="1"/>
    <xf numFmtId="4" fontId="58" fillId="6" borderId="63" xfId="0" applyNumberFormat="1" applyFont="1" applyFill="1" applyBorder="1" applyAlignment="1">
      <alignment horizontal="right" vertical="top"/>
    </xf>
    <xf numFmtId="4" fontId="58" fillId="6" borderId="51" xfId="0" applyNumberFormat="1" applyFont="1" applyFill="1" applyBorder="1" applyAlignment="1">
      <alignment horizontal="right" vertical="top"/>
    </xf>
    <xf numFmtId="4" fontId="58" fillId="36" borderId="22" xfId="0" applyNumberFormat="1" applyFont="1" applyFill="1" applyBorder="1"/>
    <xf numFmtId="4" fontId="58" fillId="6" borderId="42" xfId="0" applyNumberFormat="1" applyFont="1" applyFill="1" applyBorder="1"/>
    <xf numFmtId="4" fontId="58" fillId="10" borderId="34" xfId="0" applyNumberFormat="1" applyFont="1" applyFill="1" applyBorder="1"/>
    <xf numFmtId="164" fontId="58" fillId="6" borderId="65" xfId="0" applyNumberFormat="1" applyFont="1" applyFill="1" applyBorder="1" applyAlignment="1">
      <alignment horizontal="right" vertical="top"/>
    </xf>
    <xf numFmtId="3" fontId="58" fillId="0" borderId="9" xfId="0" applyNumberFormat="1" applyFont="1" applyFill="1" applyBorder="1"/>
    <xf numFmtId="4" fontId="58" fillId="6" borderId="8" xfId="0" applyNumberFormat="1" applyFont="1" applyFill="1" applyBorder="1"/>
    <xf numFmtId="0" fontId="58" fillId="56" borderId="21" xfId="0" applyFont="1" applyFill="1" applyBorder="1"/>
    <xf numFmtId="3" fontId="58" fillId="0" borderId="21" xfId="0" applyNumberFormat="1" applyFont="1" applyFill="1" applyBorder="1"/>
    <xf numFmtId="4" fontId="58" fillId="6" borderId="41" xfId="0" applyNumberFormat="1" applyFont="1" applyFill="1" applyBorder="1"/>
    <xf numFmtId="0" fontId="58" fillId="3" borderId="9" xfId="0" applyFont="1" applyFill="1" applyBorder="1"/>
    <xf numFmtId="4" fontId="58" fillId="6" borderId="68" xfId="0" applyNumberFormat="1" applyFont="1" applyFill="1" applyBorder="1"/>
    <xf numFmtId="4" fontId="58" fillId="36" borderId="68" xfId="0" applyNumberFormat="1" applyFont="1" applyFill="1" applyBorder="1"/>
    <xf numFmtId="164" fontId="58" fillId="6" borderId="76" xfId="0" applyNumberFormat="1" applyFont="1" applyFill="1" applyBorder="1" applyAlignment="1">
      <alignment horizontal="right" vertical="top"/>
    </xf>
    <xf numFmtId="3" fontId="58" fillId="0" borderId="70" xfId="0" applyNumberFormat="1" applyFont="1" applyFill="1" applyBorder="1"/>
    <xf numFmtId="4" fontId="58" fillId="6" borderId="12" xfId="0" applyNumberFormat="1" applyFont="1" applyFill="1" applyBorder="1"/>
    <xf numFmtId="4" fontId="58" fillId="36" borderId="70" xfId="0" applyNumberFormat="1" applyFont="1" applyFill="1" applyBorder="1"/>
    <xf numFmtId="2" fontId="58" fillId="6" borderId="86" xfId="0" applyNumberFormat="1" applyFont="1" applyFill="1" applyBorder="1" applyAlignment="1">
      <alignment horizontal="right" vertical="top"/>
    </xf>
    <xf numFmtId="164" fontId="58" fillId="6" borderId="87" xfId="0" applyNumberFormat="1" applyFont="1" applyFill="1" applyBorder="1" applyAlignment="1">
      <alignment horizontal="right" vertical="top"/>
    </xf>
    <xf numFmtId="4" fontId="58" fillId="10" borderId="88" xfId="0" applyNumberFormat="1" applyFont="1" applyFill="1" applyBorder="1"/>
    <xf numFmtId="3" fontId="58" fillId="10" borderId="88" xfId="0" applyNumberFormat="1" applyFont="1" applyFill="1" applyBorder="1"/>
    <xf numFmtId="1" fontId="23" fillId="16" borderId="1" xfId="0" applyNumberFormat="1" applyFont="1" applyFill="1" applyBorder="1"/>
    <xf numFmtId="2" fontId="58" fillId="17" borderId="0" xfId="0" applyNumberFormat="1" applyFont="1" applyFill="1"/>
    <xf numFmtId="0" fontId="58" fillId="17" borderId="5" xfId="0" applyFont="1" applyFill="1" applyBorder="1"/>
    <xf numFmtId="0" fontId="59" fillId="39" borderId="1" xfId="0" applyFont="1" applyFill="1" applyBorder="1" applyAlignment="1">
      <alignment vertical="center" wrapText="1"/>
    </xf>
    <xf numFmtId="0" fontId="58" fillId="39" borderId="1" xfId="0" applyFont="1" applyFill="1" applyBorder="1" applyAlignment="1">
      <alignment vertical="center" wrapText="1"/>
    </xf>
    <xf numFmtId="0" fontId="58" fillId="3" borderId="1" xfId="0" applyFont="1" applyFill="1" applyBorder="1"/>
    <xf numFmtId="1" fontId="59" fillId="6" borderId="74" xfId="0" applyNumberFormat="1" applyFont="1" applyFill="1" applyBorder="1"/>
    <xf numFmtId="1" fontId="58" fillId="10" borderId="94" xfId="0" applyNumberFormat="1" applyFont="1" applyFill="1" applyBorder="1"/>
    <xf numFmtId="0" fontId="58" fillId="3" borderId="21" xfId="0" applyFont="1" applyFill="1" applyBorder="1"/>
    <xf numFmtId="1" fontId="58" fillId="10" borderId="93" xfId="0" applyNumberFormat="1" applyFont="1" applyFill="1" applyBorder="1"/>
    <xf numFmtId="1" fontId="58" fillId="50" borderId="74" xfId="0" applyNumberFormat="1" applyFont="1" applyFill="1" applyBorder="1"/>
    <xf numFmtId="1" fontId="58" fillId="6" borderId="74" xfId="0" applyNumberFormat="1" applyFont="1" applyFill="1" applyBorder="1"/>
    <xf numFmtId="1" fontId="59" fillId="3" borderId="10" xfId="0" applyNumberFormat="1" applyFont="1" applyFill="1" applyBorder="1"/>
    <xf numFmtId="164" fontId="59" fillId="36" borderId="10" xfId="0" applyNumberFormat="1" applyFont="1" applyFill="1" applyBorder="1"/>
    <xf numFmtId="0" fontId="58" fillId="13" borderId="24" xfId="0" applyFont="1" applyFill="1" applyBorder="1"/>
    <xf numFmtId="0" fontId="58" fillId="13" borderId="35" xfId="0" applyFont="1" applyFill="1" applyBorder="1"/>
    <xf numFmtId="1" fontId="59" fillId="3" borderId="36" xfId="0" applyNumberFormat="1" applyFont="1" applyFill="1" applyBorder="1"/>
    <xf numFmtId="1" fontId="59" fillId="3" borderId="35" xfId="0" applyNumberFormat="1" applyFont="1" applyFill="1" applyBorder="1"/>
    <xf numFmtId="164" fontId="59" fillId="36" borderId="24" xfId="0" applyNumberFormat="1" applyFont="1" applyFill="1" applyBorder="1"/>
    <xf numFmtId="164" fontId="59" fillId="36" borderId="25" xfId="0" applyNumberFormat="1" applyFont="1" applyFill="1" applyBorder="1"/>
    <xf numFmtId="1" fontId="59" fillId="3" borderId="37" xfId="0" applyNumberFormat="1" applyFont="1" applyFill="1" applyBorder="1"/>
    <xf numFmtId="0" fontId="74" fillId="0" borderId="45" xfId="0" applyFont="1" applyBorder="1"/>
    <xf numFmtId="4" fontId="58" fillId="3" borderId="37" xfId="0" applyNumberFormat="1" applyFont="1" applyFill="1" applyBorder="1"/>
    <xf numFmtId="0" fontId="58" fillId="0" borderId="77" xfId="0" applyFont="1" applyBorder="1" applyAlignment="1">
      <alignment wrapText="1"/>
    </xf>
    <xf numFmtId="2" fontId="59" fillId="24" borderId="12" xfId="0" applyNumberFormat="1" applyFont="1" applyFill="1" applyBorder="1"/>
    <xf numFmtId="4" fontId="89" fillId="6" borderId="16" xfId="0" applyNumberFormat="1" applyFont="1" applyFill="1" applyBorder="1" applyProtection="1">
      <protection locked="0"/>
    </xf>
    <xf numFmtId="0" fontId="59" fillId="24" borderId="34" xfId="0" applyNumberFormat="1" applyFont="1" applyFill="1" applyBorder="1"/>
    <xf numFmtId="2" fontId="59" fillId="24" borderId="34" xfId="0" applyNumberFormat="1" applyFont="1" applyFill="1" applyBorder="1"/>
    <xf numFmtId="0" fontId="59" fillId="24" borderId="33" xfId="0" applyNumberFormat="1" applyFont="1" applyFill="1" applyBorder="1"/>
    <xf numFmtId="2" fontId="23" fillId="13" borderId="70" xfId="0" applyNumberFormat="1" applyFont="1" applyFill="1" applyBorder="1"/>
    <xf numFmtId="2" fontId="23" fillId="10" borderId="70" xfId="0" applyNumberFormat="1" applyFont="1" applyFill="1" applyBorder="1"/>
    <xf numFmtId="0" fontId="49" fillId="0" borderId="17" xfId="0" applyFont="1" applyFill="1" applyBorder="1" applyAlignment="1">
      <alignment vertical="top" wrapText="1"/>
    </xf>
    <xf numFmtId="0" fontId="49" fillId="0" borderId="70" xfId="0" applyFont="1" applyFill="1" applyBorder="1" applyAlignment="1">
      <alignment vertical="top" wrapText="1"/>
    </xf>
    <xf numFmtId="4" fontId="89" fillId="6" borderId="37" xfId="0" applyNumberFormat="1" applyFont="1" applyFill="1" applyBorder="1" applyProtection="1">
      <protection locked="0"/>
    </xf>
    <xf numFmtId="0" fontId="49" fillId="0" borderId="0" xfId="0" applyFont="1" applyFill="1" applyBorder="1"/>
    <xf numFmtId="0" fontId="63" fillId="0" borderId="0" xfId="0" applyFont="1" applyFill="1" applyBorder="1"/>
    <xf numFmtId="0" fontId="63" fillId="0" borderId="10" xfId="0" applyFont="1" applyFill="1" applyBorder="1"/>
    <xf numFmtId="0" fontId="63" fillId="0" borderId="94" xfId="0" applyFont="1" applyFill="1" applyBorder="1"/>
    <xf numFmtId="0" fontId="63" fillId="0" borderId="43" xfId="0" applyFont="1" applyFill="1" applyBorder="1"/>
    <xf numFmtId="0" fontId="63" fillId="0" borderId="95" xfId="0" applyFont="1" applyFill="1" applyBorder="1"/>
    <xf numFmtId="0" fontId="63" fillId="0" borderId="93" xfId="0" applyFont="1" applyFill="1" applyBorder="1"/>
    <xf numFmtId="0" fontId="58" fillId="0" borderId="21" xfId="0" applyFont="1" applyFill="1" applyBorder="1" applyAlignment="1">
      <alignment horizontal="left" textRotation="90" wrapText="1"/>
    </xf>
    <xf numFmtId="3" fontId="59" fillId="39" borderId="34" xfId="0" applyNumberFormat="1" applyFont="1" applyFill="1" applyBorder="1"/>
    <xf numFmtId="4" fontId="58" fillId="59" borderId="40" xfId="0" applyNumberFormat="1" applyFont="1" applyFill="1" applyBorder="1" applyProtection="1">
      <protection locked="0"/>
    </xf>
    <xf numFmtId="4" fontId="58" fillId="59" borderId="29" xfId="0" applyNumberFormat="1" applyFont="1" applyFill="1" applyBorder="1" applyProtection="1">
      <protection locked="0"/>
    </xf>
    <xf numFmtId="3" fontId="58" fillId="59" borderId="22" xfId="0" applyNumberFormat="1" applyFont="1" applyFill="1" applyBorder="1" applyProtection="1">
      <protection locked="0"/>
    </xf>
    <xf numFmtId="4" fontId="58" fillId="59" borderId="49" xfId="0" applyNumberFormat="1" applyFont="1" applyFill="1" applyBorder="1" applyProtection="1">
      <protection locked="0"/>
    </xf>
    <xf numFmtId="4" fontId="71" fillId="0" borderId="44" xfId="0" applyNumberFormat="1" applyFont="1" applyFill="1" applyBorder="1"/>
    <xf numFmtId="4" fontId="71" fillId="0" borderId="38" xfId="0" applyNumberFormat="1" applyFont="1" applyFill="1" applyBorder="1"/>
    <xf numFmtId="4" fontId="71" fillId="2" borderId="44" xfId="0" applyNumberFormat="1" applyFont="1" applyFill="1" applyBorder="1"/>
    <xf numFmtId="4" fontId="71" fillId="3" borderId="81" xfId="0" applyNumberFormat="1" applyFont="1" applyFill="1" applyBorder="1"/>
    <xf numFmtId="4" fontId="71" fillId="0" borderId="81" xfId="0" applyNumberFormat="1" applyFont="1" applyFill="1" applyBorder="1"/>
    <xf numFmtId="4" fontId="71" fillId="0" borderId="27" xfId="0" applyNumberFormat="1" applyFont="1" applyFill="1" applyBorder="1"/>
    <xf numFmtId="4" fontId="71" fillId="0" borderId="6" xfId="0" applyNumberFormat="1" applyFont="1" applyFill="1" applyBorder="1"/>
    <xf numFmtId="4" fontId="71" fillId="2" borderId="27" xfId="0" applyNumberFormat="1" applyFont="1" applyFill="1" applyBorder="1"/>
    <xf numFmtId="4" fontId="71" fillId="3" borderId="26" xfId="0" applyNumberFormat="1" applyFont="1" applyFill="1" applyBorder="1"/>
    <xf numFmtId="4" fontId="71" fillId="0" borderId="26" xfId="0" applyNumberFormat="1" applyFont="1" applyFill="1" applyBorder="1"/>
    <xf numFmtId="4" fontId="71" fillId="0" borderId="53" xfId="0" applyNumberFormat="1" applyFont="1" applyFill="1" applyBorder="1"/>
    <xf numFmtId="4" fontId="71" fillId="0" borderId="78" xfId="0" applyNumberFormat="1" applyFont="1" applyFill="1" applyBorder="1"/>
    <xf numFmtId="4" fontId="71" fillId="2" borderId="53" xfId="0" applyNumberFormat="1" applyFont="1" applyFill="1" applyBorder="1"/>
    <xf numFmtId="4" fontId="71" fillId="3" borderId="79" xfId="0" applyNumberFormat="1" applyFont="1" applyFill="1" applyBorder="1"/>
    <xf numFmtId="4" fontId="71" fillId="0" borderId="79" xfId="0" applyNumberFormat="1" applyFont="1" applyFill="1" applyBorder="1"/>
    <xf numFmtId="4" fontId="71" fillId="36" borderId="16" xfId="0" applyNumberFormat="1" applyFont="1" applyFill="1" applyBorder="1" applyProtection="1">
      <protection locked="0"/>
    </xf>
    <xf numFmtId="4" fontId="71" fillId="0" borderId="39" xfId="0" applyNumberFormat="1" applyFont="1" applyFill="1" applyBorder="1"/>
    <xf numFmtId="4" fontId="71" fillId="0" borderId="42" xfId="0" applyNumberFormat="1" applyFont="1" applyFill="1" applyBorder="1"/>
    <xf numFmtId="4" fontId="71" fillId="2" borderId="39" xfId="0" applyNumberFormat="1" applyFont="1" applyFill="1" applyBorder="1"/>
    <xf numFmtId="4" fontId="71" fillId="3" borderId="25" xfId="0" applyNumberFormat="1" applyFont="1" applyFill="1" applyBorder="1"/>
    <xf numFmtId="4" fontId="71" fillId="0" borderId="25" xfId="0" applyNumberFormat="1" applyFont="1" applyFill="1" applyBorder="1"/>
    <xf numFmtId="4" fontId="71" fillId="0" borderId="90" xfId="0" applyNumberFormat="1" applyFont="1" applyFill="1" applyBorder="1"/>
    <xf numFmtId="4" fontId="71" fillId="0" borderId="91" xfId="0" applyNumberFormat="1" applyFont="1" applyFill="1" applyBorder="1"/>
    <xf numFmtId="4" fontId="71" fillId="2" borderId="90" xfId="0" applyNumberFormat="1" applyFont="1" applyFill="1" applyBorder="1"/>
    <xf numFmtId="4" fontId="71" fillId="3" borderId="23" xfId="0" applyNumberFormat="1" applyFont="1" applyFill="1" applyBorder="1"/>
    <xf numFmtId="4" fontId="71" fillId="0" borderId="23" xfId="0" applyNumberFormat="1" applyFont="1" applyFill="1" applyBorder="1"/>
    <xf numFmtId="4" fontId="71" fillId="0" borderId="0" xfId="0" applyNumberFormat="1" applyFont="1" applyBorder="1"/>
    <xf numFmtId="0" fontId="58" fillId="3" borderId="12" xfId="0" applyFont="1" applyFill="1" applyBorder="1"/>
    <xf numFmtId="2" fontId="71" fillId="36" borderId="42" xfId="0" applyNumberFormat="1" applyFont="1" applyFill="1" applyBorder="1" applyProtection="1">
      <protection locked="0"/>
    </xf>
    <xf numFmtId="2" fontId="71" fillId="36" borderId="17" xfId="0" applyNumberFormat="1" applyFont="1" applyFill="1" applyBorder="1"/>
    <xf numFmtId="2" fontId="71" fillId="36" borderId="1" xfId="0" applyNumberFormat="1" applyFont="1" applyFill="1" applyBorder="1"/>
    <xf numFmtId="2" fontId="71" fillId="36" borderId="70" xfId="0" applyNumberFormat="1" applyFont="1" applyFill="1" applyBorder="1"/>
    <xf numFmtId="2" fontId="71" fillId="36" borderId="34" xfId="0" applyNumberFormat="1" applyFont="1" applyFill="1" applyBorder="1"/>
    <xf numFmtId="2" fontId="71" fillId="36" borderId="33" xfId="0" applyNumberFormat="1" applyFont="1" applyFill="1" applyBorder="1"/>
    <xf numFmtId="0" fontId="64" fillId="56" borderId="1" xfId="0" applyFont="1" applyFill="1" applyBorder="1"/>
    <xf numFmtId="0" fontId="74" fillId="3" borderId="1" xfId="0" applyFont="1" applyFill="1" applyBorder="1"/>
    <xf numFmtId="0" fontId="88" fillId="56" borderId="1" xfId="0" applyFont="1" applyFill="1" applyBorder="1" applyAlignment="1">
      <alignment vertical="center"/>
    </xf>
    <xf numFmtId="0" fontId="76" fillId="3" borderId="1" xfId="0" applyFont="1" applyFill="1" applyBorder="1" applyAlignment="1">
      <alignment vertical="center"/>
    </xf>
    <xf numFmtId="0" fontId="71" fillId="32" borderId="84" xfId="0" applyFont="1" applyFill="1" applyBorder="1"/>
    <xf numFmtId="0" fontId="71" fillId="40" borderId="1" xfId="0" applyFont="1" applyFill="1" applyBorder="1"/>
    <xf numFmtId="0" fontId="71" fillId="40" borderId="9" xfId="0" applyFont="1" applyFill="1" applyBorder="1"/>
    <xf numFmtId="0" fontId="71" fillId="40" borderId="6" xfId="0" applyFont="1" applyFill="1" applyBorder="1"/>
    <xf numFmtId="0" fontId="71" fillId="40" borderId="19" xfId="0" applyFont="1" applyFill="1" applyBorder="1"/>
    <xf numFmtId="0" fontId="49" fillId="19" borderId="1" xfId="0" applyFont="1" applyFill="1" applyBorder="1" applyAlignment="1">
      <alignment horizontal="center" textRotation="90" wrapText="1"/>
    </xf>
    <xf numFmtId="0" fontId="49" fillId="19" borderId="27" xfId="0" applyFont="1" applyFill="1" applyBorder="1" applyAlignment="1">
      <alignment horizontal="center" textRotation="90" wrapText="1"/>
    </xf>
    <xf numFmtId="0" fontId="49" fillId="3" borderId="1" xfId="0" applyFont="1" applyFill="1" applyBorder="1" applyAlignment="1">
      <alignment horizontal="center" textRotation="90" wrapText="1"/>
    </xf>
    <xf numFmtId="0" fontId="49" fillId="56" borderId="1" xfId="0" applyFont="1" applyFill="1" applyBorder="1" applyAlignment="1">
      <alignment horizontal="center" textRotation="90" wrapText="1"/>
    </xf>
    <xf numFmtId="0" fontId="49" fillId="19" borderId="2" xfId="0" applyFont="1" applyFill="1" applyBorder="1" applyAlignment="1">
      <alignment horizontal="center" textRotation="90" wrapText="1"/>
    </xf>
    <xf numFmtId="0" fontId="49" fillId="35" borderId="1" xfId="0" applyFont="1" applyFill="1" applyBorder="1" applyAlignment="1">
      <alignment horizontal="center" textRotation="90" wrapText="1"/>
    </xf>
    <xf numFmtId="0" fontId="49" fillId="23" borderId="27" xfId="0" applyFont="1" applyFill="1" applyBorder="1" applyAlignment="1">
      <alignment horizontal="center" textRotation="90" wrapText="1"/>
    </xf>
    <xf numFmtId="0" fontId="49" fillId="54" borderId="27" xfId="0" applyFont="1" applyFill="1" applyBorder="1" applyAlignment="1">
      <alignment horizontal="center" textRotation="90" wrapText="1"/>
    </xf>
    <xf numFmtId="0" fontId="137" fillId="6" borderId="26" xfId="0" applyFont="1" applyFill="1" applyBorder="1" applyAlignment="1">
      <alignment horizontal="center" vertical="center" wrapText="1"/>
    </xf>
    <xf numFmtId="0" fontId="49" fillId="6" borderId="1" xfId="0" applyFont="1" applyFill="1" applyBorder="1" applyAlignment="1">
      <alignment horizontal="center" textRotation="90" wrapText="1"/>
    </xf>
    <xf numFmtId="0" fontId="49" fillId="6" borderId="27" xfId="0" applyFont="1" applyFill="1" applyBorder="1" applyAlignment="1">
      <alignment horizontal="center" textRotation="90" wrapText="1"/>
    </xf>
    <xf numFmtId="0" fontId="49" fillId="6" borderId="6" xfId="0" applyFont="1" applyFill="1" applyBorder="1" applyAlignment="1">
      <alignment horizontal="center" textRotation="90" wrapText="1"/>
    </xf>
    <xf numFmtId="0" fontId="49" fillId="6" borderId="26" xfId="0" applyFont="1" applyFill="1" applyBorder="1" applyAlignment="1">
      <alignment horizontal="center" textRotation="90" wrapText="1"/>
    </xf>
    <xf numFmtId="0" fontId="49" fillId="50" borderId="1" xfId="0" applyFont="1" applyFill="1" applyBorder="1" applyAlignment="1">
      <alignment horizontal="center" textRotation="90" wrapText="1"/>
    </xf>
    <xf numFmtId="0" fontId="49" fillId="16" borderId="1" xfId="0" applyFont="1" applyFill="1" applyBorder="1" applyAlignment="1">
      <alignment horizontal="center" textRotation="90" wrapText="1"/>
    </xf>
    <xf numFmtId="0" fontId="49" fillId="3" borderId="27" xfId="0" applyFont="1" applyFill="1" applyBorder="1" applyAlignment="1">
      <alignment horizontal="center" textRotation="90" wrapText="1"/>
    </xf>
    <xf numFmtId="1" fontId="71" fillId="36" borderId="83" xfId="0" applyNumberFormat="1" applyFont="1" applyFill="1" applyBorder="1"/>
    <xf numFmtId="165" fontId="170" fillId="0" borderId="0" xfId="0" applyNumberFormat="1" applyFont="1" applyFill="1"/>
    <xf numFmtId="165" fontId="171" fillId="0" borderId="0" xfId="0" applyNumberFormat="1" applyFont="1"/>
    <xf numFmtId="165" fontId="120" fillId="0" borderId="0" xfId="0" applyNumberFormat="1" applyFont="1"/>
    <xf numFmtId="165" fontId="171" fillId="0" borderId="0" xfId="0" applyNumberFormat="1" applyFont="1" applyFill="1"/>
    <xf numFmtId="0" fontId="120" fillId="0" borderId="0" xfId="0" applyFont="1" applyFill="1"/>
    <xf numFmtId="166" fontId="45" fillId="0" borderId="73" xfId="0" applyNumberFormat="1" applyFont="1" applyBorder="1" applyAlignment="1">
      <alignment horizontal="left" textRotation="90"/>
    </xf>
    <xf numFmtId="165" fontId="63" fillId="0" borderId="7" xfId="0" applyNumberFormat="1" applyFont="1" applyFill="1" applyBorder="1" applyAlignment="1">
      <alignment vertical="center"/>
    </xf>
    <xf numFmtId="0" fontId="49" fillId="49" borderId="1" xfId="0" applyFont="1" applyFill="1" applyBorder="1" applyAlignment="1">
      <alignment horizontal="center" textRotation="90" wrapText="1"/>
    </xf>
    <xf numFmtId="0" fontId="23" fillId="3" borderId="1" xfId="0" applyFont="1" applyFill="1" applyBorder="1" applyAlignment="1">
      <alignment horizontal="center" textRotation="90" wrapText="1"/>
    </xf>
    <xf numFmtId="0" fontId="23" fillId="6" borderId="1" xfId="0" applyFont="1" applyFill="1" applyBorder="1" applyAlignment="1">
      <alignment horizontal="center" textRotation="90" wrapText="1"/>
    </xf>
    <xf numFmtId="0" fontId="23" fillId="19" borderId="1" xfId="0" applyFont="1" applyFill="1" applyBorder="1" applyAlignment="1">
      <alignment horizontal="center" textRotation="90" wrapText="1"/>
    </xf>
    <xf numFmtId="0" fontId="23" fillId="56" borderId="1" xfId="0" applyFont="1" applyFill="1" applyBorder="1" applyAlignment="1">
      <alignment horizontal="center" textRotation="90" wrapText="1"/>
    </xf>
    <xf numFmtId="0" fontId="23" fillId="35" borderId="1" xfId="0" applyFont="1" applyFill="1" applyBorder="1" applyAlignment="1">
      <alignment horizontal="center" textRotation="90" wrapText="1"/>
    </xf>
    <xf numFmtId="0" fontId="23" fillId="50" borderId="1" xfId="0" applyFont="1" applyFill="1" applyBorder="1" applyAlignment="1">
      <alignment horizontal="center" textRotation="90" wrapText="1"/>
    </xf>
    <xf numFmtId="0" fontId="71" fillId="50" borderId="1" xfId="0" applyFont="1" applyFill="1" applyBorder="1" applyAlignment="1">
      <alignment horizontal="left" textRotation="90" wrapText="1"/>
    </xf>
    <xf numFmtId="0" fontId="71" fillId="6" borderId="1" xfId="0" applyFont="1" applyFill="1" applyBorder="1" applyAlignment="1">
      <alignment horizontal="center" textRotation="90" wrapText="1"/>
    </xf>
    <xf numFmtId="0" fontId="71" fillId="6" borderId="1" xfId="0" applyFont="1" applyFill="1" applyBorder="1" applyAlignment="1">
      <alignment horizontal="left" textRotation="90" wrapText="1"/>
    </xf>
    <xf numFmtId="0" fontId="101" fillId="6" borderId="3" xfId="0" applyFont="1" applyFill="1" applyBorder="1" applyAlignment="1">
      <alignment horizontal="left" vertical="top" wrapText="1"/>
    </xf>
    <xf numFmtId="0" fontId="23" fillId="16" borderId="1" xfId="0" applyFont="1" applyFill="1" applyBorder="1" applyAlignment="1">
      <alignment horizontal="center" textRotation="90" wrapText="1"/>
    </xf>
    <xf numFmtId="0" fontId="71" fillId="3" borderId="1" xfId="0" applyFont="1" applyFill="1" applyBorder="1" applyAlignment="1">
      <alignment horizontal="left" textRotation="90" wrapText="1"/>
    </xf>
    <xf numFmtId="0" fontId="49" fillId="3" borderId="1" xfId="0" applyFont="1" applyFill="1" applyBorder="1" applyAlignment="1">
      <alignment horizontal="left" textRotation="90" wrapText="1"/>
    </xf>
    <xf numFmtId="0" fontId="23" fillId="3" borderId="1" xfId="0" applyFont="1" applyFill="1" applyBorder="1" applyAlignment="1">
      <alignment horizontal="left" textRotation="90" wrapText="1"/>
    </xf>
    <xf numFmtId="1" fontId="45" fillId="13" borderId="1" xfId="0" applyNumberFormat="1" applyFont="1" applyFill="1" applyBorder="1"/>
    <xf numFmtId="164" fontId="45" fillId="13" borderId="1" xfId="0" applyNumberFormat="1" applyFont="1" applyFill="1" applyBorder="1"/>
    <xf numFmtId="2" fontId="45" fillId="13" borderId="1" xfId="0" applyNumberFormat="1" applyFont="1" applyFill="1" applyBorder="1"/>
    <xf numFmtId="164" fontId="138" fillId="13" borderId="1" xfId="0" applyNumberFormat="1" applyFont="1" applyFill="1" applyBorder="1"/>
    <xf numFmtId="164" fontId="49" fillId="13" borderId="1" xfId="0" applyNumberFormat="1" applyFont="1" applyFill="1" applyBorder="1"/>
    <xf numFmtId="0" fontId="49" fillId="39" borderId="1" xfId="0" applyFont="1" applyFill="1" applyBorder="1"/>
    <xf numFmtId="2" fontId="49" fillId="39" borderId="1" xfId="0" applyNumberFormat="1" applyFont="1" applyFill="1" applyBorder="1"/>
    <xf numFmtId="2" fontId="49" fillId="12" borderId="1" xfId="0" applyNumberFormat="1" applyFont="1" applyFill="1" applyBorder="1"/>
    <xf numFmtId="164" fontId="49" fillId="2" borderId="1" xfId="0" applyNumberFormat="1" applyFont="1" applyFill="1" applyBorder="1"/>
    <xf numFmtId="164" fontId="49" fillId="13" borderId="70" xfId="0" applyNumberFormat="1" applyFont="1" applyFill="1" applyBorder="1"/>
    <xf numFmtId="2" fontId="49" fillId="39" borderId="70" xfId="0" applyNumberFormat="1" applyFont="1" applyFill="1" applyBorder="1"/>
    <xf numFmtId="2" fontId="49" fillId="12" borderId="70" xfId="0" applyNumberFormat="1" applyFont="1" applyFill="1" applyBorder="1"/>
    <xf numFmtId="164" fontId="49" fillId="2" borderId="70" xfId="0" applyNumberFormat="1" applyFont="1" applyFill="1" applyBorder="1"/>
    <xf numFmtId="0" fontId="49" fillId="36" borderId="1" xfId="0" applyFont="1" applyFill="1" applyBorder="1"/>
    <xf numFmtId="164" fontId="49" fillId="15" borderId="1" xfId="0" applyNumberFormat="1" applyFont="1" applyFill="1" applyBorder="1"/>
    <xf numFmtId="164" fontId="71" fillId="15" borderId="1" xfId="0" applyNumberFormat="1" applyFont="1" applyFill="1" applyBorder="1"/>
    <xf numFmtId="164" fontId="71" fillId="15" borderId="70" xfId="0" applyNumberFormat="1" applyFont="1" applyFill="1" applyBorder="1"/>
    <xf numFmtId="0" fontId="139" fillId="36" borderId="1" xfId="0" applyFont="1" applyFill="1" applyBorder="1"/>
    <xf numFmtId="1" fontId="49" fillId="36" borderId="1" xfId="0" applyNumberFormat="1" applyFont="1" applyFill="1" applyBorder="1"/>
    <xf numFmtId="1" fontId="49" fillId="36" borderId="70" xfId="0" applyNumberFormat="1" applyFont="1" applyFill="1" applyBorder="1"/>
    <xf numFmtId="164" fontId="139" fillId="0" borderId="1" xfId="0" applyNumberFormat="1" applyFont="1" applyFill="1" applyBorder="1"/>
    <xf numFmtId="164" fontId="139" fillId="0" borderId="70" xfId="0" applyNumberFormat="1" applyFont="1" applyFill="1" applyBorder="1"/>
    <xf numFmtId="2" fontId="49" fillId="16" borderId="1" xfId="0" applyNumberFormat="1" applyFont="1" applyFill="1" applyBorder="1"/>
    <xf numFmtId="2" fontId="49" fillId="16" borderId="70" xfId="0" applyNumberFormat="1" applyFont="1" applyFill="1" applyBorder="1"/>
    <xf numFmtId="2" fontId="49" fillId="36" borderId="1" xfId="0" applyNumberFormat="1" applyFont="1" applyFill="1" applyBorder="1"/>
    <xf numFmtId="2" fontId="49" fillId="36" borderId="70" xfId="0" applyNumberFormat="1" applyFont="1" applyFill="1" applyBorder="1"/>
    <xf numFmtId="2" fontId="45" fillId="36" borderId="1" xfId="0" applyNumberFormat="1" applyFont="1" applyFill="1" applyBorder="1"/>
    <xf numFmtId="2" fontId="45" fillId="36" borderId="70" xfId="0" applyNumberFormat="1" applyFont="1" applyFill="1" applyBorder="1"/>
    <xf numFmtId="2" fontId="45" fillId="16" borderId="1" xfId="0" applyNumberFormat="1" applyFont="1" applyFill="1" applyBorder="1"/>
    <xf numFmtId="2" fontId="45" fillId="16" borderId="70" xfId="0" applyNumberFormat="1" applyFont="1" applyFill="1" applyBorder="1"/>
    <xf numFmtId="1" fontId="45" fillId="16" borderId="1" xfId="0" applyNumberFormat="1" applyFont="1" applyFill="1" applyBorder="1"/>
    <xf numFmtId="1" fontId="45" fillId="16" borderId="70" xfId="0" applyNumberFormat="1" applyFont="1" applyFill="1" applyBorder="1"/>
    <xf numFmtId="164" fontId="49" fillId="0" borderId="1" xfId="0" applyNumberFormat="1" applyFont="1" applyFill="1" applyBorder="1"/>
    <xf numFmtId="164" fontId="45" fillId="0" borderId="1" xfId="0" applyNumberFormat="1" applyFont="1" applyFill="1" applyBorder="1"/>
    <xf numFmtId="164" fontId="45" fillId="0" borderId="70" xfId="0" applyNumberFormat="1" applyFont="1" applyFill="1" applyBorder="1"/>
    <xf numFmtId="1" fontId="45" fillId="0" borderId="1" xfId="0" applyNumberFormat="1" applyFont="1" applyFill="1" applyBorder="1"/>
    <xf numFmtId="1" fontId="45" fillId="0" borderId="70" xfId="0" applyNumberFormat="1" applyFont="1" applyFill="1" applyBorder="1"/>
    <xf numFmtId="2" fontId="71" fillId="32" borderId="6" xfId="0" applyNumberFormat="1" applyFont="1" applyFill="1" applyBorder="1"/>
    <xf numFmtId="0" fontId="63" fillId="53" borderId="1" xfId="0" applyFont="1" applyFill="1" applyBorder="1"/>
    <xf numFmtId="164" fontId="63" fillId="53" borderId="1" xfId="0" applyNumberFormat="1" applyFont="1" applyFill="1" applyBorder="1"/>
    <xf numFmtId="0" fontId="63" fillId="57" borderId="1" xfId="0" applyFont="1" applyFill="1" applyBorder="1"/>
    <xf numFmtId="0" fontId="63" fillId="57" borderId="84" xfId="0" applyFont="1" applyFill="1" applyBorder="1"/>
    <xf numFmtId="0" fontId="63" fillId="57" borderId="73" xfId="0" applyFont="1" applyFill="1" applyBorder="1"/>
    <xf numFmtId="0" fontId="63" fillId="57" borderId="72" xfId="0" applyFont="1" applyFill="1" applyBorder="1"/>
    <xf numFmtId="0" fontId="63" fillId="57" borderId="27" xfId="0" applyFont="1" applyFill="1" applyBorder="1"/>
    <xf numFmtId="164" fontId="63" fillId="57" borderId="27" xfId="0" applyNumberFormat="1" applyFont="1" applyFill="1" applyBorder="1"/>
    <xf numFmtId="164" fontId="63" fillId="57" borderId="2" xfId="0" applyNumberFormat="1" applyFont="1" applyFill="1" applyBorder="1"/>
    <xf numFmtId="0" fontId="88" fillId="49" borderId="0" xfId="0" applyFont="1" applyFill="1" applyBorder="1"/>
    <xf numFmtId="0" fontId="101" fillId="32" borderId="1" xfId="0" applyFont="1" applyFill="1" applyBorder="1"/>
    <xf numFmtId="2" fontId="71" fillId="32" borderId="83" xfId="0" applyNumberFormat="1" applyFont="1" applyFill="1" applyBorder="1"/>
    <xf numFmtId="0" fontId="108" fillId="29" borderId="1" xfId="0" applyFont="1" applyFill="1" applyBorder="1"/>
    <xf numFmtId="0" fontId="108" fillId="29" borderId="0" xfId="0" applyFont="1" applyFill="1" applyBorder="1"/>
    <xf numFmtId="0" fontId="108" fillId="29" borderId="28" xfId="0" applyFont="1" applyFill="1" applyBorder="1"/>
    <xf numFmtId="0" fontId="108" fillId="29" borderId="27" xfId="0" applyFont="1" applyFill="1" applyBorder="1"/>
    <xf numFmtId="0" fontId="108" fillId="29" borderId="26" xfId="0" applyFont="1" applyFill="1" applyBorder="1"/>
    <xf numFmtId="0" fontId="141" fillId="0" borderId="0" xfId="0" applyFont="1" applyBorder="1"/>
    <xf numFmtId="0" fontId="23" fillId="40" borderId="9" xfId="0" applyFont="1" applyFill="1" applyBorder="1"/>
    <xf numFmtId="0" fontId="39" fillId="53" borderId="1" xfId="0" applyFont="1" applyFill="1" applyBorder="1"/>
    <xf numFmtId="164" fontId="39" fillId="53" borderId="1" xfId="0" applyNumberFormat="1" applyFont="1" applyFill="1" applyBorder="1"/>
    <xf numFmtId="0" fontId="39" fillId="29" borderId="0" xfId="0" applyFont="1" applyFill="1"/>
    <xf numFmtId="0" fontId="26" fillId="49" borderId="9" xfId="0" applyFont="1" applyFill="1" applyBorder="1"/>
    <xf numFmtId="164" fontId="26" fillId="49" borderId="9" xfId="0" applyNumberFormat="1" applyFont="1" applyFill="1" applyBorder="1"/>
    <xf numFmtId="0" fontId="26" fillId="49" borderId="1" xfId="0" applyFont="1" applyFill="1" applyBorder="1"/>
    <xf numFmtId="164" fontId="26" fillId="49" borderId="1" xfId="0" applyNumberFormat="1" applyFont="1" applyFill="1" applyBorder="1"/>
    <xf numFmtId="164" fontId="88" fillId="49" borderId="1" xfId="0" applyNumberFormat="1" applyFont="1" applyFill="1" applyBorder="1"/>
    <xf numFmtId="2" fontId="23" fillId="40" borderId="1" xfId="0" applyNumberFormat="1" applyFont="1" applyFill="1" applyBorder="1"/>
    <xf numFmtId="0" fontId="88" fillId="49" borderId="1" xfId="0" applyFont="1" applyFill="1" applyBorder="1"/>
    <xf numFmtId="0" fontId="71" fillId="19" borderId="70" xfId="0" applyFont="1" applyFill="1" applyBorder="1"/>
    <xf numFmtId="0" fontId="71" fillId="19" borderId="12" xfId="0" applyFont="1" applyFill="1" applyBorder="1"/>
    <xf numFmtId="0" fontId="71" fillId="25" borderId="52" xfId="0" applyFont="1" applyFill="1" applyBorder="1"/>
    <xf numFmtId="0" fontId="71" fillId="40" borderId="47" xfId="0" applyFont="1" applyFill="1" applyBorder="1"/>
    <xf numFmtId="0" fontId="88" fillId="49" borderId="12" xfId="0" applyFont="1" applyFill="1" applyBorder="1"/>
    <xf numFmtId="0" fontId="71" fillId="40" borderId="12" xfId="0" applyFont="1" applyFill="1" applyBorder="1"/>
    <xf numFmtId="164" fontId="88" fillId="49" borderId="52" xfId="0" applyNumberFormat="1" applyFont="1" applyFill="1" applyBorder="1"/>
    <xf numFmtId="0" fontId="88" fillId="49" borderId="52" xfId="0" applyFont="1" applyFill="1" applyBorder="1"/>
    <xf numFmtId="164" fontId="88" fillId="49" borderId="45" xfId="0" applyNumberFormat="1" applyFont="1" applyFill="1" applyBorder="1"/>
    <xf numFmtId="0" fontId="71" fillId="40" borderId="59" xfId="0" applyFont="1" applyFill="1" applyBorder="1"/>
    <xf numFmtId="0" fontId="88" fillId="49" borderId="69" xfId="0" applyFont="1" applyFill="1" applyBorder="1"/>
    <xf numFmtId="4" fontId="71" fillId="40" borderId="52" xfId="0" applyNumberFormat="1" applyFont="1" applyFill="1" applyBorder="1"/>
    <xf numFmtId="0" fontId="71" fillId="32" borderId="47" xfId="0" applyFont="1" applyFill="1" applyBorder="1"/>
    <xf numFmtId="0" fontId="71" fillId="32" borderId="52" xfId="0" applyFont="1" applyFill="1" applyBorder="1"/>
    <xf numFmtId="0" fontId="71" fillId="32" borderId="28" xfId="0" applyFont="1" applyFill="1" applyBorder="1"/>
    <xf numFmtId="0" fontId="71" fillId="40" borderId="70" xfId="0" applyFont="1" applyFill="1" applyBorder="1"/>
    <xf numFmtId="0" fontId="92" fillId="32" borderId="52" xfId="0" applyFont="1" applyFill="1" applyBorder="1"/>
    <xf numFmtId="0" fontId="88" fillId="49" borderId="45" xfId="0" applyFont="1" applyFill="1" applyBorder="1"/>
    <xf numFmtId="0" fontId="63" fillId="13" borderId="22" xfId="0" applyFont="1" applyFill="1" applyBorder="1"/>
    <xf numFmtId="0" fontId="63" fillId="3" borderId="22" xfId="0" applyFont="1" applyFill="1" applyBorder="1"/>
    <xf numFmtId="0" fontId="63" fillId="3" borderId="49" xfId="0" applyFont="1" applyFill="1" applyBorder="1"/>
    <xf numFmtId="1" fontId="63" fillId="13" borderId="50" xfId="0" applyNumberFormat="1" applyFont="1" applyFill="1" applyBorder="1"/>
    <xf numFmtId="164" fontId="63" fillId="13" borderId="22" xfId="0" applyNumberFormat="1" applyFont="1" applyFill="1" applyBorder="1"/>
    <xf numFmtId="1" fontId="63" fillId="3" borderId="22" xfId="0" applyNumberFormat="1" applyFont="1" applyFill="1" applyBorder="1"/>
    <xf numFmtId="164" fontId="63" fillId="3" borderId="49" xfId="0" applyNumberFormat="1" applyFont="1" applyFill="1" applyBorder="1"/>
    <xf numFmtId="1" fontId="63" fillId="3" borderId="50" xfId="0" applyNumberFormat="1" applyFont="1" applyFill="1" applyBorder="1"/>
    <xf numFmtId="164" fontId="63" fillId="3" borderId="58" xfId="0" applyNumberFormat="1" applyFont="1" applyFill="1" applyBorder="1"/>
    <xf numFmtId="1" fontId="63" fillId="3" borderId="96" xfId="0" applyNumberFormat="1" applyFont="1" applyFill="1" applyBorder="1"/>
    <xf numFmtId="4" fontId="63" fillId="13" borderId="50" xfId="0" applyNumberFormat="1" applyFont="1" applyFill="1" applyBorder="1"/>
    <xf numFmtId="4" fontId="63" fillId="13" borderId="22" xfId="0" applyNumberFormat="1" applyFont="1" applyFill="1" applyBorder="1"/>
    <xf numFmtId="4" fontId="63" fillId="13" borderId="49" xfId="0" applyNumberFormat="1" applyFont="1" applyFill="1" applyBorder="1"/>
    <xf numFmtId="4" fontId="63" fillId="13" borderId="60" xfId="0" applyNumberFormat="1" applyFont="1" applyFill="1" applyBorder="1"/>
    <xf numFmtId="4" fontId="63" fillId="30" borderId="60" xfId="0" applyNumberFormat="1" applyFont="1" applyFill="1" applyBorder="1"/>
    <xf numFmtId="2" fontId="63" fillId="13" borderId="60" xfId="0" applyNumberFormat="1" applyFont="1" applyFill="1" applyBorder="1"/>
    <xf numFmtId="2" fontId="63" fillId="13" borderId="50" xfId="0" applyNumberFormat="1" applyFont="1" applyFill="1" applyBorder="1"/>
    <xf numFmtId="2" fontId="63" fillId="13" borderId="22" xfId="0" applyNumberFormat="1" applyFont="1" applyFill="1" applyBorder="1"/>
    <xf numFmtId="2" fontId="63" fillId="13" borderId="49" xfId="0" applyNumberFormat="1" applyFont="1" applyFill="1" applyBorder="1"/>
    <xf numFmtId="164" fontId="63" fillId="13" borderId="49" xfId="0" applyNumberFormat="1" applyFont="1" applyFill="1" applyBorder="1"/>
    <xf numFmtId="0" fontId="70" fillId="17" borderId="1" xfId="0" applyFont="1" applyFill="1" applyBorder="1"/>
    <xf numFmtId="0" fontId="93" fillId="17" borderId="1" xfId="0" applyFont="1" applyFill="1" applyBorder="1"/>
    <xf numFmtId="164" fontId="93" fillId="4" borderId="1" xfId="0" applyNumberFormat="1" applyFont="1" applyFill="1" applyBorder="1"/>
    <xf numFmtId="164" fontId="70" fillId="17" borderId="1" xfId="0" applyNumberFormat="1" applyFont="1" applyFill="1" applyBorder="1"/>
    <xf numFmtId="1" fontId="93" fillId="17" borderId="1" xfId="0" applyNumberFormat="1" applyFont="1" applyFill="1" applyBorder="1"/>
    <xf numFmtId="164" fontId="93" fillId="17" borderId="1" xfId="0" applyNumberFormat="1" applyFont="1" applyFill="1" applyBorder="1"/>
    <xf numFmtId="4" fontId="93" fillId="17" borderId="1" xfId="0" applyNumberFormat="1" applyFont="1" applyFill="1" applyBorder="1"/>
    <xf numFmtId="1" fontId="58" fillId="0" borderId="1" xfId="0" applyNumberFormat="1" applyFont="1" applyFill="1" applyBorder="1"/>
    <xf numFmtId="1" fontId="59" fillId="3" borderId="98" xfId="0" applyNumberFormat="1" applyFont="1" applyFill="1" applyBorder="1"/>
    <xf numFmtId="2" fontId="58" fillId="10" borderId="83" xfId="0" applyNumberFormat="1" applyFont="1" applyFill="1" applyBorder="1"/>
    <xf numFmtId="2" fontId="58" fillId="10" borderId="41" xfId="0" applyNumberFormat="1" applyFont="1" applyFill="1" applyBorder="1"/>
    <xf numFmtId="2" fontId="58" fillId="10" borderId="98" xfId="0" applyNumberFormat="1" applyFont="1" applyFill="1" applyBorder="1"/>
    <xf numFmtId="2" fontId="58" fillId="10" borderId="50" xfId="0" applyNumberFormat="1" applyFont="1" applyFill="1" applyBorder="1"/>
    <xf numFmtId="2" fontId="58" fillId="10" borderId="42" xfId="0" applyNumberFormat="1" applyFont="1" applyFill="1" applyBorder="1"/>
    <xf numFmtId="2" fontId="59" fillId="3" borderId="98" xfId="0" applyNumberFormat="1" applyFont="1" applyFill="1" applyBorder="1"/>
    <xf numFmtId="0" fontId="58" fillId="39" borderId="27" xfId="0" applyFont="1" applyFill="1" applyBorder="1" applyAlignment="1">
      <alignment horizontal="left" textRotation="90" wrapText="1"/>
    </xf>
    <xf numFmtId="2" fontId="59" fillId="3" borderId="29" xfId="0" applyNumberFormat="1" applyFont="1" applyFill="1" applyBorder="1"/>
    <xf numFmtId="2" fontId="58" fillId="4" borderId="27" xfId="0" applyNumberFormat="1" applyFont="1" applyFill="1" applyBorder="1"/>
    <xf numFmtId="2" fontId="58" fillId="4" borderId="40" xfId="0" applyNumberFormat="1" applyFont="1" applyFill="1" applyBorder="1"/>
    <xf numFmtId="2" fontId="58" fillId="4" borderId="29" xfId="0" applyNumberFormat="1" applyFont="1" applyFill="1" applyBorder="1"/>
    <xf numFmtId="2" fontId="58" fillId="4" borderId="49" xfId="0" applyNumberFormat="1" applyFont="1" applyFill="1" applyBorder="1"/>
    <xf numFmtId="2" fontId="58" fillId="4" borderId="44" xfId="0" applyNumberFormat="1" applyFont="1" applyFill="1" applyBorder="1"/>
    <xf numFmtId="2" fontId="59" fillId="36" borderId="42" xfId="0" applyNumberFormat="1" applyFont="1" applyFill="1" applyBorder="1"/>
    <xf numFmtId="0" fontId="58" fillId="0" borderId="83" xfId="0" applyFont="1" applyFill="1" applyBorder="1" applyAlignment="1">
      <alignment horizontal="left" textRotation="90" wrapText="1"/>
    </xf>
    <xf numFmtId="2" fontId="59" fillId="36" borderId="98" xfId="0" applyNumberFormat="1" applyFont="1" applyFill="1" applyBorder="1"/>
    <xf numFmtId="0" fontId="58" fillId="31" borderId="28" xfId="0" applyNumberFormat="1" applyFont="1" applyFill="1" applyBorder="1"/>
    <xf numFmtId="0" fontId="58" fillId="0" borderId="27" xfId="0" applyFont="1" applyFill="1" applyBorder="1" applyAlignment="1">
      <alignment horizontal="left" textRotation="90" wrapText="1"/>
    </xf>
    <xf numFmtId="2" fontId="59" fillId="36" borderId="29" xfId="0" applyNumberFormat="1" applyFont="1" applyFill="1" applyBorder="1"/>
    <xf numFmtId="2" fontId="59" fillId="36" borderId="40" xfId="0" applyNumberFormat="1" applyFont="1" applyFill="1" applyBorder="1"/>
    <xf numFmtId="2" fontId="59" fillId="36" borderId="39" xfId="0" applyNumberFormat="1" applyFont="1" applyFill="1" applyBorder="1"/>
    <xf numFmtId="164" fontId="23" fillId="0" borderId="1" xfId="0" applyNumberFormat="1" applyFont="1" applyFill="1" applyBorder="1"/>
    <xf numFmtId="2" fontId="39" fillId="53" borderId="1" xfId="0" applyNumberFormat="1" applyFont="1" applyFill="1" applyBorder="1"/>
    <xf numFmtId="0" fontId="106" fillId="29" borderId="1" xfId="0" applyFont="1" applyFill="1" applyBorder="1"/>
    <xf numFmtId="0" fontId="99" fillId="29" borderId="1" xfId="0" applyFont="1" applyFill="1" applyBorder="1"/>
    <xf numFmtId="0" fontId="49" fillId="0" borderId="1" xfId="0" applyFont="1" applyFill="1" applyBorder="1" applyAlignment="1">
      <alignment horizontal="right" wrapText="1"/>
    </xf>
    <xf numFmtId="0" fontId="45" fillId="0" borderId="1" xfId="0" applyFont="1" applyFill="1" applyBorder="1" applyAlignment="1">
      <alignment horizontal="right" wrapText="1"/>
    </xf>
    <xf numFmtId="0" fontId="49" fillId="7" borderId="1" xfId="0" applyFont="1" applyFill="1" applyBorder="1" applyAlignment="1">
      <alignment horizontal="center" textRotation="90" wrapText="1"/>
    </xf>
    <xf numFmtId="0" fontId="49" fillId="15" borderId="1" xfId="0" applyFont="1" applyFill="1" applyBorder="1" applyAlignment="1">
      <alignment horizontal="center" textRotation="90" wrapText="1"/>
    </xf>
    <xf numFmtId="2" fontId="71" fillId="18" borderId="83" xfId="0" applyNumberFormat="1" applyFont="1" applyFill="1" applyBorder="1"/>
    <xf numFmtId="2" fontId="71" fillId="31" borderId="83" xfId="0" applyNumberFormat="1" applyFont="1" applyFill="1" applyBorder="1"/>
    <xf numFmtId="164" fontId="71" fillId="18" borderId="83" xfId="0" applyNumberFormat="1" applyFont="1" applyFill="1" applyBorder="1"/>
    <xf numFmtId="164" fontId="71" fillId="14" borderId="83" xfId="0" applyNumberFormat="1" applyFont="1" applyFill="1" applyBorder="1"/>
    <xf numFmtId="0" fontId="71" fillId="40" borderId="83" xfId="0" applyFont="1" applyFill="1" applyBorder="1"/>
    <xf numFmtId="1" fontId="93" fillId="17" borderId="83" xfId="0" applyNumberFormat="1" applyFont="1" applyFill="1" applyBorder="1"/>
    <xf numFmtId="0" fontId="108" fillId="29" borderId="99" xfId="0" applyFont="1" applyFill="1" applyBorder="1"/>
    <xf numFmtId="164" fontId="70" fillId="17" borderId="27" xfId="0" applyNumberFormat="1" applyFont="1" applyFill="1" applyBorder="1"/>
    <xf numFmtId="0" fontId="49" fillId="0" borderId="83" xfId="0" applyFont="1" applyFill="1" applyBorder="1" applyAlignment="1">
      <alignment horizontal="center" textRotation="90" wrapText="1"/>
    </xf>
    <xf numFmtId="0" fontId="71" fillId="6" borderId="83" xfId="0" applyFont="1" applyFill="1" applyBorder="1" applyProtection="1">
      <protection locked="0"/>
    </xf>
    <xf numFmtId="0" fontId="71" fillId="6" borderId="100" xfId="0" applyFont="1" applyFill="1" applyBorder="1" applyProtection="1">
      <protection locked="0"/>
    </xf>
    <xf numFmtId="164" fontId="71" fillId="0" borderId="92" xfId="0" applyNumberFormat="1" applyFont="1" applyBorder="1"/>
    <xf numFmtId="164" fontId="71" fillId="0" borderId="40" xfId="0" applyNumberFormat="1" applyFont="1" applyBorder="1"/>
    <xf numFmtId="164" fontId="71" fillId="0" borderId="92" xfId="0" applyNumberFormat="1" applyFont="1" applyFill="1" applyBorder="1"/>
    <xf numFmtId="0" fontId="71" fillId="18" borderId="83" xfId="0" applyFont="1" applyFill="1" applyBorder="1"/>
    <xf numFmtId="0" fontId="71" fillId="31" borderId="83" xfId="0" applyFont="1" applyFill="1" applyBorder="1"/>
    <xf numFmtId="0" fontId="71" fillId="14" borderId="83" xfId="0" applyFont="1" applyFill="1" applyBorder="1"/>
    <xf numFmtId="0" fontId="71" fillId="40" borderId="98" xfId="0" applyFont="1" applyFill="1" applyBorder="1"/>
    <xf numFmtId="164" fontId="70" fillId="17" borderId="83" xfId="0" applyNumberFormat="1" applyFont="1" applyFill="1" applyBorder="1"/>
    <xf numFmtId="164" fontId="63" fillId="13" borderId="50" xfId="0" applyNumberFormat="1" applyFont="1" applyFill="1" applyBorder="1"/>
    <xf numFmtId="0" fontId="99" fillId="0" borderId="0" xfId="0" applyFont="1" applyFill="1" applyBorder="1"/>
    <xf numFmtId="0" fontId="49" fillId="10" borderId="1" xfId="0" applyFont="1" applyFill="1" applyBorder="1" applyAlignment="1">
      <alignment horizontal="center" textRotation="90" wrapText="1"/>
    </xf>
    <xf numFmtId="0" fontId="41" fillId="17" borderId="1" xfId="0" applyFont="1" applyFill="1" applyBorder="1"/>
    <xf numFmtId="164" fontId="47" fillId="17" borderId="1" xfId="0" applyNumberFormat="1" applyFont="1" applyFill="1" applyBorder="1"/>
    <xf numFmtId="2" fontId="48" fillId="36" borderId="1" xfId="0" applyNumberFormat="1" applyFont="1" applyFill="1" applyBorder="1"/>
    <xf numFmtId="4" fontId="48" fillId="36" borderId="1" xfId="0" applyNumberFormat="1" applyFont="1" applyFill="1" applyBorder="1"/>
    <xf numFmtId="2" fontId="48" fillId="13" borderId="1" xfId="0" applyNumberFormat="1" applyFont="1" applyFill="1" applyBorder="1"/>
    <xf numFmtId="0" fontId="48" fillId="13" borderId="1" xfId="0" applyFont="1" applyFill="1" applyBorder="1"/>
    <xf numFmtId="2" fontId="48" fillId="0" borderId="1" xfId="0" applyNumberFormat="1" applyFont="1" applyFill="1" applyBorder="1"/>
    <xf numFmtId="0" fontId="74" fillId="15" borderId="83" xfId="0" applyFont="1" applyFill="1" applyBorder="1" applyAlignment="1">
      <alignment horizontal="left" textRotation="90" wrapText="1"/>
    </xf>
    <xf numFmtId="4" fontId="89" fillId="6" borderId="83" xfId="0" applyNumberFormat="1" applyFont="1" applyFill="1" applyBorder="1" applyProtection="1">
      <protection locked="0"/>
    </xf>
    <xf numFmtId="4" fontId="89" fillId="6" borderId="100" xfId="0" applyNumberFormat="1" applyFont="1" applyFill="1" applyBorder="1" applyProtection="1">
      <protection locked="0"/>
    </xf>
    <xf numFmtId="0" fontId="91" fillId="4" borderId="99" xfId="0" applyFont="1" applyFill="1" applyBorder="1"/>
    <xf numFmtId="0" fontId="91" fillId="55" borderId="28" xfId="0" applyFont="1" applyFill="1" applyBorder="1"/>
    <xf numFmtId="0" fontId="71" fillId="31" borderId="28" xfId="0" applyFont="1" applyFill="1" applyBorder="1"/>
    <xf numFmtId="4" fontId="89" fillId="6" borderId="99" xfId="0" applyNumberFormat="1" applyFont="1" applyFill="1" applyBorder="1" applyProtection="1">
      <protection locked="0"/>
    </xf>
    <xf numFmtId="4" fontId="89" fillId="6" borderId="98" xfId="0" applyNumberFormat="1" applyFont="1" applyFill="1" applyBorder="1" applyProtection="1">
      <protection locked="0"/>
    </xf>
    <xf numFmtId="4" fontId="58" fillId="3" borderId="24" xfId="0" applyNumberFormat="1" applyFont="1" applyFill="1" applyBorder="1"/>
    <xf numFmtId="4" fontId="89" fillId="6" borderId="92" xfId="0" applyNumberFormat="1" applyFont="1" applyFill="1" applyBorder="1" applyProtection="1">
      <protection locked="0"/>
    </xf>
    <xf numFmtId="4" fontId="89" fillId="6" borderId="90" xfId="0" applyNumberFormat="1" applyFont="1" applyFill="1" applyBorder="1" applyProtection="1">
      <protection locked="0"/>
    </xf>
    <xf numFmtId="4" fontId="58" fillId="0" borderId="97" xfId="0" applyNumberFormat="1" applyFont="1" applyBorder="1"/>
    <xf numFmtId="0" fontId="59" fillId="39" borderId="88" xfId="0" applyFont="1" applyFill="1" applyBorder="1" applyAlignment="1">
      <alignment horizontal="center"/>
    </xf>
    <xf numFmtId="0" fontId="58" fillId="0" borderId="73" xfId="0" applyFont="1" applyFill="1" applyBorder="1" applyAlignment="1">
      <alignment horizontal="left" textRotation="90" wrapText="1"/>
    </xf>
    <xf numFmtId="4" fontId="48" fillId="13" borderId="1" xfId="0" applyNumberFormat="1" applyFont="1" applyFill="1" applyBorder="1"/>
    <xf numFmtId="4" fontId="89" fillId="6" borderId="40" xfId="0" applyNumberFormat="1" applyFont="1" applyFill="1" applyBorder="1" applyProtection="1">
      <protection locked="0"/>
    </xf>
    <xf numFmtId="4" fontId="89" fillId="6" borderId="44" xfId="0" applyNumberFormat="1" applyFont="1" applyFill="1" applyBorder="1" applyProtection="1">
      <protection locked="0"/>
    </xf>
    <xf numFmtId="4" fontId="89" fillId="6" borderId="39" xfId="0" applyNumberFormat="1" applyFont="1" applyFill="1" applyBorder="1" applyProtection="1">
      <protection locked="0"/>
    </xf>
    <xf numFmtId="4" fontId="89" fillId="6" borderId="106" xfId="0" applyNumberFormat="1" applyFont="1" applyFill="1" applyBorder="1" applyProtection="1">
      <protection locked="0"/>
    </xf>
    <xf numFmtId="4" fontId="89" fillId="6" borderId="22" xfId="0" applyNumberFormat="1" applyFont="1" applyFill="1" applyBorder="1" applyProtection="1">
      <protection locked="0"/>
    </xf>
    <xf numFmtId="4" fontId="89" fillId="6" borderId="29" xfId="0" applyNumberFormat="1" applyFont="1" applyFill="1" applyBorder="1" applyProtection="1">
      <protection locked="0"/>
    </xf>
    <xf numFmtId="4" fontId="89" fillId="6" borderId="49" xfId="0" applyNumberFormat="1" applyFont="1" applyFill="1" applyBorder="1" applyProtection="1">
      <protection locked="0"/>
    </xf>
    <xf numFmtId="2" fontId="58" fillId="6" borderId="105" xfId="0" applyNumberFormat="1" applyFont="1" applyFill="1" applyBorder="1" applyProtection="1">
      <protection locked="0"/>
    </xf>
    <xf numFmtId="2" fontId="58" fillId="6" borderId="68" xfId="0" applyNumberFormat="1" applyFont="1" applyFill="1" applyBorder="1" applyProtection="1">
      <protection locked="0"/>
    </xf>
    <xf numFmtId="2" fontId="58" fillId="6" borderId="101" xfId="0" applyNumberFormat="1" applyFont="1" applyFill="1" applyBorder="1" applyProtection="1">
      <protection locked="0"/>
    </xf>
    <xf numFmtId="2" fontId="58" fillId="6" borderId="34" xfId="0" applyNumberFormat="1" applyFont="1" applyFill="1" applyBorder="1" applyProtection="1">
      <protection locked="0"/>
    </xf>
    <xf numFmtId="2" fontId="58" fillId="6" borderId="22" xfId="0" applyNumberFormat="1" applyFont="1" applyFill="1" applyBorder="1" applyProtection="1">
      <protection locked="0"/>
    </xf>
    <xf numFmtId="4" fontId="89" fillId="6" borderId="101" xfId="0" applyNumberFormat="1" applyFont="1" applyFill="1" applyBorder="1" applyProtection="1">
      <protection locked="0"/>
    </xf>
    <xf numFmtId="4" fontId="89" fillId="6" borderId="108" xfId="0" applyNumberFormat="1" applyFont="1" applyFill="1" applyBorder="1" applyProtection="1">
      <protection locked="0"/>
    </xf>
    <xf numFmtId="4" fontId="89" fillId="6" borderId="105" xfId="0" applyNumberFormat="1" applyFont="1" applyFill="1" applyBorder="1" applyProtection="1">
      <protection locked="0"/>
    </xf>
    <xf numFmtId="4" fontId="89" fillId="6" borderId="103" xfId="0" applyNumberFormat="1" applyFont="1" applyFill="1" applyBorder="1" applyProtection="1">
      <protection locked="0"/>
    </xf>
    <xf numFmtId="4" fontId="89" fillId="6" borderId="107" xfId="0" applyNumberFormat="1" applyFont="1" applyFill="1" applyBorder="1" applyProtection="1">
      <protection locked="0"/>
    </xf>
    <xf numFmtId="4" fontId="89" fillId="6" borderId="68" xfId="0" applyNumberFormat="1" applyFont="1" applyFill="1" applyBorder="1" applyProtection="1">
      <protection locked="0"/>
    </xf>
    <xf numFmtId="4" fontId="89" fillId="6" borderId="102" xfId="0" applyNumberFormat="1" applyFont="1" applyFill="1" applyBorder="1" applyProtection="1">
      <protection locked="0"/>
    </xf>
    <xf numFmtId="2" fontId="58" fillId="6" borderId="103" xfId="0" applyNumberFormat="1" applyFont="1" applyFill="1" applyBorder="1" applyProtection="1">
      <protection locked="0"/>
    </xf>
    <xf numFmtId="4" fontId="89" fillId="6" borderId="34" xfId="0" applyNumberFormat="1" applyFont="1" applyFill="1" applyBorder="1" applyProtection="1">
      <protection locked="0"/>
    </xf>
    <xf numFmtId="4" fontId="89" fillId="6" borderId="109" xfId="0" applyNumberFormat="1" applyFont="1" applyFill="1" applyBorder="1" applyProtection="1">
      <protection locked="0"/>
    </xf>
    <xf numFmtId="2" fontId="58" fillId="6" borderId="109" xfId="0" applyNumberFormat="1" applyFont="1" applyFill="1" applyBorder="1" applyProtection="1">
      <protection locked="0"/>
    </xf>
    <xf numFmtId="4" fontId="89" fillId="6" borderId="110" xfId="0" applyNumberFormat="1" applyFont="1" applyFill="1" applyBorder="1" applyProtection="1">
      <protection locked="0"/>
    </xf>
    <xf numFmtId="4" fontId="89" fillId="6" borderId="17" xfId="0" applyNumberFormat="1" applyFont="1" applyFill="1" applyBorder="1" applyProtection="1">
      <protection locked="0"/>
    </xf>
    <xf numFmtId="4" fontId="89" fillId="6" borderId="38" xfId="0" applyNumberFormat="1" applyFont="1" applyFill="1" applyBorder="1" applyProtection="1">
      <protection locked="0"/>
    </xf>
    <xf numFmtId="2" fontId="58" fillId="6" borderId="17" xfId="0" applyNumberFormat="1" applyFont="1" applyFill="1" applyBorder="1" applyProtection="1">
      <protection locked="0"/>
    </xf>
    <xf numFmtId="4" fontId="89" fillId="6" borderId="104" xfId="0" applyNumberFormat="1" applyFont="1" applyFill="1" applyBorder="1" applyProtection="1">
      <protection locked="0"/>
    </xf>
    <xf numFmtId="4" fontId="89" fillId="6" borderId="42" xfId="0" applyNumberFormat="1" applyFont="1" applyFill="1" applyBorder="1" applyProtection="1">
      <protection locked="0"/>
    </xf>
    <xf numFmtId="4" fontId="89" fillId="6" borderId="50" xfId="0" applyNumberFormat="1" applyFont="1" applyFill="1" applyBorder="1" applyProtection="1">
      <protection locked="0"/>
    </xf>
    <xf numFmtId="4" fontId="89" fillId="6" borderId="16" xfId="0" applyNumberFormat="1" applyFont="1" applyFill="1" applyBorder="1" applyProtection="1">
      <protection locked="0"/>
    </xf>
    <xf numFmtId="3" fontId="58" fillId="6" borderId="105" xfId="0" applyNumberFormat="1" applyFont="1" applyFill="1" applyBorder="1"/>
    <xf numFmtId="3" fontId="58" fillId="6" borderId="109" xfId="0" applyNumberFormat="1" applyFont="1" applyFill="1" applyBorder="1"/>
    <xf numFmtId="3" fontId="58" fillId="6" borderId="34" xfId="0" applyNumberFormat="1" applyFont="1" applyFill="1" applyBorder="1"/>
    <xf numFmtId="4" fontId="58" fillId="6" borderId="38" xfId="0" applyNumberFormat="1" applyFont="1" applyFill="1" applyBorder="1" applyProtection="1">
      <protection locked="0"/>
    </xf>
    <xf numFmtId="3" fontId="58" fillId="6" borderId="17" xfId="0" applyNumberFormat="1" applyFont="1" applyFill="1" applyBorder="1"/>
    <xf numFmtId="4" fontId="58" fillId="6" borderId="103" xfId="0" applyNumberFormat="1" applyFont="1" applyFill="1" applyBorder="1" applyProtection="1">
      <protection locked="0"/>
    </xf>
    <xf numFmtId="4" fontId="58" fillId="6" borderId="110" xfId="0" applyNumberFormat="1" applyFont="1" applyFill="1" applyBorder="1" applyProtection="1">
      <protection locked="0"/>
    </xf>
    <xf numFmtId="3" fontId="58" fillId="6" borderId="111" xfId="0" applyNumberFormat="1" applyFont="1" applyFill="1" applyBorder="1"/>
    <xf numFmtId="4" fontId="58" fillId="6" borderId="47" xfId="0" applyNumberFormat="1" applyFont="1" applyFill="1" applyBorder="1" applyProtection="1">
      <protection locked="0"/>
    </xf>
    <xf numFmtId="3" fontId="58" fillId="6" borderId="12" xfId="0" applyNumberFormat="1" applyFont="1" applyFill="1" applyBorder="1"/>
    <xf numFmtId="4" fontId="58" fillId="6" borderId="42" xfId="0" applyNumberFormat="1" applyFont="1" applyFill="1" applyBorder="1" applyProtection="1">
      <protection locked="0"/>
    </xf>
    <xf numFmtId="4" fontId="58" fillId="59" borderId="38" xfId="0" applyNumberFormat="1" applyFont="1" applyFill="1" applyBorder="1" applyProtection="1">
      <protection locked="0"/>
    </xf>
    <xf numFmtId="4" fontId="58" fillId="59" borderId="44" xfId="0" applyNumberFormat="1" applyFont="1" applyFill="1" applyBorder="1" applyProtection="1">
      <protection locked="0"/>
    </xf>
    <xf numFmtId="4" fontId="58" fillId="59" borderId="103" xfId="0" applyNumberFormat="1" applyFont="1" applyFill="1" applyBorder="1" applyProtection="1">
      <protection locked="0"/>
    </xf>
    <xf numFmtId="4" fontId="58" fillId="59" borderId="106" xfId="0" applyNumberFormat="1" applyFont="1" applyFill="1" applyBorder="1" applyProtection="1">
      <protection locked="0"/>
    </xf>
    <xf numFmtId="4" fontId="58" fillId="59" borderId="110" xfId="0" applyNumberFormat="1" applyFont="1" applyFill="1" applyBorder="1" applyProtection="1">
      <protection locked="0"/>
    </xf>
    <xf numFmtId="4" fontId="58" fillId="59" borderId="112" xfId="0" applyNumberFormat="1" applyFont="1" applyFill="1" applyBorder="1" applyProtection="1">
      <protection locked="0"/>
    </xf>
    <xf numFmtId="4" fontId="58" fillId="59" borderId="47" xfId="0" applyNumberFormat="1" applyFont="1" applyFill="1" applyBorder="1" applyProtection="1">
      <protection locked="0"/>
    </xf>
    <xf numFmtId="4" fontId="58" fillId="59" borderId="52" xfId="0" applyNumberFormat="1" applyFont="1" applyFill="1" applyBorder="1" applyProtection="1">
      <protection locked="0"/>
    </xf>
    <xf numFmtId="4" fontId="58" fillId="59" borderId="42" xfId="0" applyNumberFormat="1" applyFont="1" applyFill="1" applyBorder="1" applyProtection="1">
      <protection locked="0"/>
    </xf>
    <xf numFmtId="4" fontId="58" fillId="59" borderId="39" xfId="0" applyNumberFormat="1" applyFont="1" applyFill="1" applyBorder="1" applyProtection="1">
      <protection locked="0"/>
    </xf>
    <xf numFmtId="0" fontId="71" fillId="6" borderId="42" xfId="0" applyFont="1" applyFill="1" applyBorder="1" applyProtection="1">
      <protection locked="0"/>
    </xf>
    <xf numFmtId="0" fontId="71" fillId="6" borderId="38" xfId="0" applyFont="1" applyFill="1" applyBorder="1" applyProtection="1">
      <protection locked="0"/>
    </xf>
    <xf numFmtId="0" fontId="71" fillId="6" borderId="91" xfId="0" applyFont="1" applyFill="1" applyBorder="1" applyProtection="1">
      <protection locked="0"/>
    </xf>
    <xf numFmtId="0" fontId="71" fillId="6" borderId="113" xfId="0" applyFont="1" applyFill="1" applyBorder="1" applyProtection="1">
      <protection locked="0"/>
    </xf>
    <xf numFmtId="0" fontId="71" fillId="6" borderId="116" xfId="0" applyFont="1" applyFill="1" applyBorder="1" applyProtection="1">
      <protection locked="0"/>
    </xf>
    <xf numFmtId="0" fontId="71" fillId="6" borderId="115" xfId="0" applyFont="1" applyFill="1" applyBorder="1" applyProtection="1">
      <protection locked="0"/>
    </xf>
    <xf numFmtId="0" fontId="71" fillId="6" borderId="20" xfId="0" applyFont="1" applyFill="1" applyBorder="1" applyProtection="1">
      <protection locked="0"/>
    </xf>
    <xf numFmtId="0" fontId="71" fillId="6" borderId="37" xfId="0" applyFont="1" applyFill="1" applyBorder="1" applyProtection="1">
      <protection locked="0"/>
    </xf>
    <xf numFmtId="0" fontId="71" fillId="6" borderId="16" xfId="0" applyFont="1" applyFill="1" applyBorder="1" applyProtection="1">
      <protection locked="0"/>
    </xf>
    <xf numFmtId="0" fontId="71" fillId="6" borderId="114" xfId="0" applyFont="1" applyFill="1" applyBorder="1" applyProtection="1">
      <protection locked="0"/>
    </xf>
    <xf numFmtId="0" fontId="71" fillId="6" borderId="17" xfId="0" applyFont="1" applyFill="1" applyBorder="1" applyProtection="1">
      <protection locked="0"/>
    </xf>
    <xf numFmtId="0" fontId="71" fillId="6" borderId="42" xfId="0" applyFont="1" applyFill="1" applyBorder="1" applyProtection="1">
      <protection locked="0"/>
    </xf>
    <xf numFmtId="0" fontId="71" fillId="6" borderId="118" xfId="0" applyFont="1" applyFill="1" applyBorder="1" applyProtection="1">
      <protection locked="0"/>
    </xf>
    <xf numFmtId="0" fontId="71" fillId="6" borderId="119" xfId="0" applyFont="1" applyFill="1" applyBorder="1" applyProtection="1">
      <protection locked="0"/>
    </xf>
    <xf numFmtId="0" fontId="71" fillId="6" borderId="34" xfId="0" applyFont="1" applyFill="1" applyBorder="1" applyProtection="1">
      <protection locked="0"/>
    </xf>
    <xf numFmtId="0" fontId="71" fillId="6" borderId="120" xfId="0" applyFont="1" applyFill="1" applyBorder="1" applyProtection="1">
      <protection locked="0"/>
    </xf>
    <xf numFmtId="0" fontId="71" fillId="6" borderId="117" xfId="0" applyFont="1" applyFill="1" applyBorder="1" applyProtection="1">
      <protection locked="0"/>
    </xf>
    <xf numFmtId="0" fontId="71" fillId="6" borderId="38" xfId="0" applyFont="1" applyFill="1" applyBorder="1" applyProtection="1">
      <protection locked="0"/>
    </xf>
    <xf numFmtId="0" fontId="71" fillId="6" borderId="33" xfId="0" applyFont="1" applyFill="1" applyBorder="1" applyProtection="1">
      <protection locked="0"/>
    </xf>
    <xf numFmtId="0" fontId="71" fillId="6" borderId="91" xfId="0" applyFont="1" applyFill="1" applyBorder="1" applyProtection="1">
      <protection locked="0"/>
    </xf>
    <xf numFmtId="0" fontId="71" fillId="6" borderId="17" xfId="0" applyFont="1" applyFill="1" applyBorder="1" applyProtection="1">
      <protection locked="0"/>
    </xf>
    <xf numFmtId="0" fontId="71" fillId="6" borderId="42" xfId="0" applyFont="1" applyFill="1" applyBorder="1" applyProtection="1">
      <protection locked="0"/>
    </xf>
    <xf numFmtId="0" fontId="71" fillId="6" borderId="118" xfId="0" applyFont="1" applyFill="1" applyBorder="1" applyProtection="1">
      <protection locked="0"/>
    </xf>
    <xf numFmtId="0" fontId="71" fillId="6" borderId="119" xfId="0" applyFont="1" applyFill="1" applyBorder="1" applyProtection="1">
      <protection locked="0"/>
    </xf>
    <xf numFmtId="0" fontId="71" fillId="6" borderId="34" xfId="0" applyFont="1" applyFill="1" applyBorder="1" applyProtection="1">
      <protection locked="0"/>
    </xf>
    <xf numFmtId="0" fontId="71" fillId="6" borderId="122" xfId="0" applyFont="1" applyFill="1" applyBorder="1" applyProtection="1">
      <protection locked="0"/>
    </xf>
    <xf numFmtId="0" fontId="71" fillId="6" borderId="121" xfId="0" applyFont="1" applyFill="1" applyBorder="1" applyProtection="1">
      <protection locked="0"/>
    </xf>
    <xf numFmtId="0" fontId="71" fillId="6" borderId="38" xfId="0" applyFont="1" applyFill="1" applyBorder="1" applyProtection="1">
      <protection locked="0"/>
    </xf>
    <xf numFmtId="0" fontId="71" fillId="6" borderId="33" xfId="0" applyFont="1" applyFill="1" applyBorder="1" applyProtection="1">
      <protection locked="0"/>
    </xf>
    <xf numFmtId="0" fontId="71" fillId="6" borderId="91" xfId="0" applyFont="1" applyFill="1" applyBorder="1" applyProtection="1">
      <protection locked="0"/>
    </xf>
    <xf numFmtId="164" fontId="58" fillId="6" borderId="17" xfId="0" applyNumberFormat="1" applyFont="1" applyFill="1" applyBorder="1" applyProtection="1">
      <protection locked="0"/>
    </xf>
    <xf numFmtId="164" fontId="58" fillId="6" borderId="119" xfId="0" applyNumberFormat="1" applyFont="1" applyFill="1" applyBorder="1" applyProtection="1">
      <protection locked="0"/>
    </xf>
    <xf numFmtId="164" fontId="58" fillId="6" borderId="120" xfId="0" applyNumberFormat="1" applyFont="1" applyFill="1" applyBorder="1" applyProtection="1">
      <protection locked="0"/>
    </xf>
    <xf numFmtId="164" fontId="58" fillId="6" borderId="34" xfId="0" applyNumberFormat="1" applyFont="1" applyFill="1" applyBorder="1" applyProtection="1">
      <protection locked="0"/>
    </xf>
    <xf numFmtId="164" fontId="58" fillId="50" borderId="17" xfId="0" applyNumberFormat="1" applyFont="1" applyFill="1" applyBorder="1" applyProtection="1">
      <protection locked="0"/>
    </xf>
    <xf numFmtId="164" fontId="58" fillId="50" borderId="119" xfId="0" applyNumberFormat="1" applyFont="1" applyFill="1" applyBorder="1" applyProtection="1">
      <protection locked="0"/>
    </xf>
    <xf numFmtId="164" fontId="58" fillId="50" borderId="123" xfId="0" applyNumberFormat="1" applyFont="1" applyFill="1" applyBorder="1" applyProtection="1">
      <protection locked="0"/>
    </xf>
    <xf numFmtId="164" fontId="58" fillId="50" borderId="34" xfId="0" applyNumberFormat="1" applyFont="1" applyFill="1" applyBorder="1" applyProtection="1">
      <protection locked="0"/>
    </xf>
    <xf numFmtId="164" fontId="58" fillId="50" borderId="17" xfId="0" applyNumberFormat="1" applyFont="1" applyFill="1" applyBorder="1" applyProtection="1">
      <protection locked="0"/>
    </xf>
    <xf numFmtId="164" fontId="58" fillId="50" borderId="38" xfId="0" applyNumberFormat="1" applyFont="1" applyFill="1" applyBorder="1" applyProtection="1">
      <protection locked="0"/>
    </xf>
    <xf numFmtId="164" fontId="58" fillId="50" borderId="44" xfId="0" applyNumberFormat="1" applyFont="1" applyFill="1" applyBorder="1" applyProtection="1">
      <protection locked="0"/>
    </xf>
    <xf numFmtId="164" fontId="58" fillId="50" borderId="124" xfId="0" applyNumberFormat="1" applyFont="1" applyFill="1" applyBorder="1" applyProtection="1">
      <protection locked="0"/>
    </xf>
    <xf numFmtId="164" fontId="58" fillId="50" borderId="129" xfId="0" applyNumberFormat="1" applyFont="1" applyFill="1" applyBorder="1" applyProtection="1">
      <protection locked="0"/>
    </xf>
    <xf numFmtId="164" fontId="58" fillId="50" borderId="125" xfId="0" applyNumberFormat="1" applyFont="1" applyFill="1" applyBorder="1" applyProtection="1">
      <protection locked="0"/>
    </xf>
    <xf numFmtId="164" fontId="58" fillId="50" borderId="127" xfId="0" applyNumberFormat="1" applyFont="1" applyFill="1" applyBorder="1" applyProtection="1">
      <protection locked="0"/>
    </xf>
    <xf numFmtId="164" fontId="58" fillId="50" borderId="128" xfId="0" applyNumberFormat="1" applyFont="1" applyFill="1" applyBorder="1" applyProtection="1">
      <protection locked="0"/>
    </xf>
    <xf numFmtId="164" fontId="58" fillId="50" borderId="126" xfId="0" applyNumberFormat="1" applyFont="1" applyFill="1" applyBorder="1" applyProtection="1">
      <protection locked="0"/>
    </xf>
    <xf numFmtId="164" fontId="58" fillId="50" borderId="34" xfId="0" applyNumberFormat="1" applyFont="1" applyFill="1" applyBorder="1" applyProtection="1">
      <protection locked="0"/>
    </xf>
    <xf numFmtId="164" fontId="58" fillId="50" borderId="42" xfId="0" applyNumberFormat="1" applyFont="1" applyFill="1" applyBorder="1" applyProtection="1">
      <protection locked="0"/>
    </xf>
    <xf numFmtId="164" fontId="58" fillId="50" borderId="39" xfId="0" applyNumberFormat="1" applyFont="1" applyFill="1" applyBorder="1" applyProtection="1">
      <protection locked="0"/>
    </xf>
    <xf numFmtId="164" fontId="58" fillId="6" borderId="44" xfId="0" applyNumberFormat="1" applyFont="1" applyFill="1" applyBorder="1" applyProtection="1">
      <protection locked="0"/>
    </xf>
    <xf numFmtId="164" fontId="58" fillId="6" borderId="125" xfId="0" applyNumberFormat="1" applyFont="1" applyFill="1" applyBorder="1" applyProtection="1">
      <protection locked="0"/>
    </xf>
    <xf numFmtId="164" fontId="58" fillId="6" borderId="130" xfId="0" applyNumberFormat="1" applyFont="1" applyFill="1" applyBorder="1" applyProtection="1">
      <protection locked="0"/>
    </xf>
    <xf numFmtId="164" fontId="58" fillId="6" borderId="39" xfId="0" applyNumberFormat="1" applyFont="1" applyFill="1" applyBorder="1" applyProtection="1">
      <protection locked="0"/>
    </xf>
    <xf numFmtId="4" fontId="23" fillId="6" borderId="124" xfId="0" applyNumberFormat="1" applyFont="1" applyFill="1" applyBorder="1"/>
    <xf numFmtId="4" fontId="23" fillId="6" borderId="124" xfId="0" applyNumberFormat="1" applyFont="1" applyFill="1" applyBorder="1"/>
    <xf numFmtId="4" fontId="23" fillId="6" borderId="124" xfId="0" applyNumberFormat="1" applyFont="1" applyFill="1" applyBorder="1"/>
    <xf numFmtId="164" fontId="58" fillId="10" borderId="17" xfId="0" applyNumberFormat="1" applyFont="1" applyFill="1" applyBorder="1" applyProtection="1">
      <protection locked="0"/>
    </xf>
    <xf numFmtId="164" fontId="58" fillId="10" borderId="81" xfId="0" applyNumberFormat="1" applyFont="1" applyFill="1" applyBorder="1" applyProtection="1">
      <protection locked="0"/>
    </xf>
    <xf numFmtId="164" fontId="58" fillId="10" borderId="124" xfId="0" applyNumberFormat="1" applyFont="1" applyFill="1" applyBorder="1" applyProtection="1">
      <protection locked="0"/>
    </xf>
    <xf numFmtId="164" fontId="58" fillId="10" borderId="127" xfId="0" applyNumberFormat="1" applyFont="1" applyFill="1" applyBorder="1" applyProtection="1">
      <protection locked="0"/>
    </xf>
    <xf numFmtId="164" fontId="58" fillId="10" borderId="34" xfId="0" applyNumberFormat="1" applyFont="1" applyFill="1" applyBorder="1" applyProtection="1">
      <protection locked="0"/>
    </xf>
    <xf numFmtId="164" fontId="58" fillId="10" borderId="25" xfId="0" applyNumberFormat="1" applyFont="1" applyFill="1" applyBorder="1" applyProtection="1">
      <protection locked="0"/>
    </xf>
    <xf numFmtId="4" fontId="23" fillId="6" borderId="124" xfId="0" applyNumberFormat="1" applyFont="1" applyFill="1" applyBorder="1"/>
    <xf numFmtId="3" fontId="58" fillId="6" borderId="22" xfId="0" applyNumberFormat="1" applyFont="1" applyFill="1" applyBorder="1" applyProtection="1">
      <protection locked="0"/>
    </xf>
    <xf numFmtId="0" fontId="58" fillId="0" borderId="0" xfId="0" applyFont="1"/>
    <xf numFmtId="4" fontId="58" fillId="59" borderId="133" xfId="0" applyNumberFormat="1" applyFont="1" applyFill="1" applyBorder="1" applyProtection="1">
      <protection locked="0"/>
    </xf>
    <xf numFmtId="4" fontId="58" fillId="59" borderId="131" xfId="0" applyNumberFormat="1" applyFont="1" applyFill="1" applyBorder="1" applyProtection="1">
      <protection locked="0"/>
    </xf>
    <xf numFmtId="3" fontId="58" fillId="6" borderId="133" xfId="0" applyNumberFormat="1" applyFont="1" applyFill="1" applyBorder="1" applyProtection="1">
      <protection locked="0"/>
    </xf>
    <xf numFmtId="3" fontId="58" fillId="6" borderId="132" xfId="0" applyNumberFormat="1" applyFont="1" applyFill="1" applyBorder="1" applyProtection="1">
      <protection locked="0"/>
    </xf>
    <xf numFmtId="3" fontId="58" fillId="6" borderId="131" xfId="0" applyNumberFormat="1" applyFont="1" applyFill="1" applyBorder="1" applyProtection="1">
      <protection locked="0"/>
    </xf>
    <xf numFmtId="4" fontId="45" fillId="13" borderId="1" xfId="0" applyNumberFormat="1" applyFont="1" applyFill="1" applyBorder="1"/>
    <xf numFmtId="4" fontId="49" fillId="39" borderId="1" xfId="0" applyNumberFormat="1" applyFont="1" applyFill="1" applyBorder="1"/>
    <xf numFmtId="4" fontId="49" fillId="12" borderId="1" xfId="0" applyNumberFormat="1" applyFont="1" applyFill="1" applyBorder="1"/>
    <xf numFmtId="4" fontId="49" fillId="12" borderId="70" xfId="0" applyNumberFormat="1" applyFont="1" applyFill="1" applyBorder="1"/>
    <xf numFmtId="4" fontId="63" fillId="13" borderId="1" xfId="0" applyNumberFormat="1" applyFont="1" applyFill="1" applyBorder="1"/>
    <xf numFmtId="4" fontId="49" fillId="39" borderId="70" xfId="0" applyNumberFormat="1" applyFont="1" applyFill="1" applyBorder="1"/>
    <xf numFmtId="4" fontId="58" fillId="0" borderId="18" xfId="0" applyNumberFormat="1" applyFont="1" applyBorder="1"/>
    <xf numFmtId="2" fontId="54" fillId="2" borderId="1" xfId="0" applyNumberFormat="1" applyFont="1" applyFill="1" applyBorder="1" applyAlignment="1">
      <alignment horizontal="center" vertical="top" wrapText="1"/>
    </xf>
    <xf numFmtId="2" fontId="147" fillId="0" borderId="1" xfId="0" applyNumberFormat="1" applyFont="1" applyFill="1" applyBorder="1" applyAlignment="1">
      <alignment horizontal="center" vertical="top" wrapText="1"/>
    </xf>
    <xf numFmtId="2" fontId="147" fillId="32" borderId="1" xfId="0" applyNumberFormat="1" applyFont="1" applyFill="1" applyBorder="1" applyAlignment="1">
      <alignment horizontal="center" vertical="top" wrapText="1"/>
    </xf>
    <xf numFmtId="3" fontId="58" fillId="6" borderId="133" xfId="0" applyNumberFormat="1" applyFont="1" applyFill="1" applyBorder="1"/>
    <xf numFmtId="3" fontId="58" fillId="59" borderId="133" xfId="0" applyNumberFormat="1" applyFont="1" applyFill="1" applyBorder="1" applyProtection="1">
      <protection locked="0"/>
    </xf>
    <xf numFmtId="4" fontId="58" fillId="59" borderId="125" xfId="0" applyNumberFormat="1" applyFont="1" applyFill="1" applyBorder="1" applyProtection="1">
      <protection locked="0"/>
    </xf>
    <xf numFmtId="4" fontId="80" fillId="59" borderId="125" xfId="0" applyNumberFormat="1" applyFont="1" applyFill="1" applyBorder="1" applyProtection="1">
      <protection locked="0"/>
    </xf>
    <xf numFmtId="3" fontId="58" fillId="6" borderId="132" xfId="0" applyNumberFormat="1" applyFont="1" applyFill="1" applyBorder="1"/>
    <xf numFmtId="3" fontId="58" fillId="59" borderId="132" xfId="0" applyNumberFormat="1" applyFont="1" applyFill="1" applyBorder="1" applyProtection="1">
      <protection locked="0"/>
    </xf>
    <xf numFmtId="3" fontId="58" fillId="6" borderId="131" xfId="0" applyNumberFormat="1" applyFont="1" applyFill="1" applyBorder="1"/>
    <xf numFmtId="3" fontId="58" fillId="6" borderId="127" xfId="0" applyNumberFormat="1" applyFont="1" applyFill="1" applyBorder="1"/>
    <xf numFmtId="3" fontId="58" fillId="59" borderId="131" xfId="0" applyNumberFormat="1" applyFont="1" applyFill="1" applyBorder="1" applyProtection="1">
      <protection locked="0"/>
    </xf>
    <xf numFmtId="4" fontId="58" fillId="59" borderId="82" xfId="0" applyNumberFormat="1" applyFont="1" applyFill="1" applyBorder="1" applyProtection="1">
      <protection locked="0"/>
    </xf>
    <xf numFmtId="0" fontId="23" fillId="0" borderId="1" xfId="0" applyFont="1" applyFill="1" applyBorder="1" applyAlignment="1">
      <alignment horizontal="center" vertical="center" wrapText="1"/>
    </xf>
    <xf numFmtId="4" fontId="58" fillId="40" borderId="103" xfId="0" applyNumberFormat="1" applyFont="1" applyFill="1" applyBorder="1" applyProtection="1">
      <protection locked="0"/>
    </xf>
    <xf numFmtId="4" fontId="58" fillId="40" borderId="110" xfId="0" applyNumberFormat="1" applyFont="1" applyFill="1" applyBorder="1" applyProtection="1">
      <protection locked="0"/>
    </xf>
    <xf numFmtId="3" fontId="58" fillId="40" borderId="133" xfId="0" applyNumberFormat="1" applyFont="1" applyFill="1" applyBorder="1" applyProtection="1">
      <protection locked="0"/>
    </xf>
    <xf numFmtId="3" fontId="58" fillId="40" borderId="132" xfId="0" applyNumberFormat="1" applyFont="1" applyFill="1" applyBorder="1" applyProtection="1">
      <protection locked="0"/>
    </xf>
    <xf numFmtId="3" fontId="58" fillId="40" borderId="22" xfId="0" applyNumberFormat="1" applyFont="1" applyFill="1" applyBorder="1" applyProtection="1">
      <protection locked="0"/>
    </xf>
    <xf numFmtId="3" fontId="58" fillId="40" borderId="131" xfId="0" applyNumberFormat="1" applyFont="1" applyFill="1" applyBorder="1" applyProtection="1">
      <protection locked="0"/>
    </xf>
    <xf numFmtId="4" fontId="58" fillId="40" borderId="133" xfId="0" applyNumberFormat="1" applyFont="1" applyFill="1" applyBorder="1" applyProtection="1">
      <protection locked="0"/>
    </xf>
    <xf numFmtId="4" fontId="58" fillId="40" borderId="132" xfId="0" applyNumberFormat="1" applyFont="1" applyFill="1" applyBorder="1" applyProtection="1">
      <protection locked="0"/>
    </xf>
    <xf numFmtId="4" fontId="58" fillId="40" borderId="131" xfId="0" applyNumberFormat="1" applyFont="1" applyFill="1" applyBorder="1" applyProtection="1">
      <protection locked="0"/>
    </xf>
    <xf numFmtId="0" fontId="58" fillId="0" borderId="133" xfId="0" applyFont="1" applyBorder="1"/>
    <xf numFmtId="0" fontId="71" fillId="0" borderId="133" xfId="0" applyFont="1" applyBorder="1"/>
    <xf numFmtId="4" fontId="71" fillId="40" borderId="133" xfId="0" applyNumberFormat="1" applyFont="1" applyFill="1" applyBorder="1"/>
    <xf numFmtId="0" fontId="178" fillId="0" borderId="0" xfId="0" applyFont="1" applyAlignment="1">
      <alignment vertical="center" wrapText="1"/>
    </xf>
    <xf numFmtId="0" fontId="63" fillId="39" borderId="0" xfId="0" applyFont="1" applyFill="1" applyBorder="1" applyAlignment="1">
      <alignment horizontal="center"/>
    </xf>
    <xf numFmtId="164" fontId="59" fillId="3" borderId="9" xfId="0" applyNumberFormat="1" applyFont="1" applyFill="1" applyBorder="1"/>
    <xf numFmtId="164" fontId="62" fillId="0" borderId="0" xfId="0" applyNumberFormat="1" applyFont="1" applyFill="1"/>
    <xf numFmtId="165" fontId="89" fillId="0" borderId="0" xfId="0" applyNumberFormat="1" applyFont="1" applyFill="1" applyBorder="1"/>
    <xf numFmtId="0" fontId="58" fillId="31" borderId="73" xfId="0" applyFont="1" applyFill="1" applyBorder="1"/>
    <xf numFmtId="0" fontId="89" fillId="10" borderId="133" xfId="0" applyFont="1" applyFill="1" applyBorder="1"/>
    <xf numFmtId="0" fontId="89" fillId="10" borderId="133" xfId="0" applyFont="1" applyFill="1" applyBorder="1" applyAlignment="1">
      <alignment horizontal="left" textRotation="90" wrapText="1"/>
    </xf>
    <xf numFmtId="0" fontId="58" fillId="31" borderId="133" xfId="0" applyFont="1" applyFill="1" applyBorder="1"/>
    <xf numFmtId="164" fontId="179" fillId="4" borderId="0" xfId="0" applyNumberFormat="1" applyFont="1" applyFill="1" applyAlignment="1">
      <alignment horizontal="right"/>
    </xf>
    <xf numFmtId="2" fontId="58" fillId="39" borderId="133" xfId="0" applyNumberFormat="1" applyFont="1" applyFill="1" applyBorder="1"/>
    <xf numFmtId="0" fontId="58" fillId="0" borderId="129" xfId="0" applyFont="1" applyFill="1" applyBorder="1" applyAlignment="1">
      <alignment horizontal="left" textRotation="90" wrapText="1"/>
    </xf>
    <xf numFmtId="2" fontId="59" fillId="3" borderId="115" xfId="0" applyNumberFormat="1" applyFont="1" applyFill="1" applyBorder="1"/>
    <xf numFmtId="2" fontId="59" fillId="35" borderId="115" xfId="0" applyNumberFormat="1" applyFont="1" applyFill="1" applyBorder="1"/>
    <xf numFmtId="0" fontId="58" fillId="0" borderId="125" xfId="0" applyFont="1" applyFill="1" applyBorder="1" applyAlignment="1">
      <alignment horizontal="left" textRotation="90" wrapText="1"/>
    </xf>
    <xf numFmtId="2" fontId="59" fillId="36" borderId="55" xfId="0" applyNumberFormat="1" applyFont="1" applyFill="1" applyBorder="1"/>
    <xf numFmtId="2" fontId="59" fillId="36" borderId="132" xfId="0" applyNumberFormat="1" applyFont="1" applyFill="1" applyBorder="1"/>
    <xf numFmtId="2" fontId="59" fillId="36" borderId="107" xfId="0" applyNumberFormat="1" applyFont="1" applyFill="1" applyBorder="1"/>
    <xf numFmtId="2" fontId="59" fillId="36" borderId="56" xfId="0" applyNumberFormat="1" applyFont="1" applyFill="1" applyBorder="1"/>
    <xf numFmtId="2" fontId="59" fillId="35" borderId="107" xfId="0" applyNumberFormat="1" applyFont="1" applyFill="1" applyBorder="1"/>
    <xf numFmtId="2" fontId="59" fillId="35" borderId="132" xfId="0" applyNumberFormat="1" applyFont="1" applyFill="1" applyBorder="1"/>
    <xf numFmtId="2" fontId="59" fillId="36" borderId="25" xfId="0" applyNumberFormat="1" applyFont="1" applyFill="1" applyBorder="1"/>
    <xf numFmtId="2" fontId="59" fillId="35" borderId="42" xfId="0" applyNumberFormat="1" applyFont="1" applyFill="1" applyBorder="1"/>
    <xf numFmtId="2" fontId="59" fillId="36" borderId="115" xfId="0" applyNumberFormat="1" applyFont="1" applyFill="1" applyBorder="1"/>
    <xf numFmtId="164" fontId="59" fillId="35" borderId="131" xfId="0" applyNumberFormat="1" applyFont="1" applyFill="1" applyBorder="1"/>
    <xf numFmtId="2" fontId="59" fillId="36" borderId="131" xfId="0" applyNumberFormat="1" applyFont="1" applyFill="1" applyBorder="1"/>
    <xf numFmtId="164" fontId="59" fillId="35" borderId="132" xfId="0" applyNumberFormat="1" applyFont="1" applyFill="1" applyBorder="1"/>
    <xf numFmtId="2" fontId="59" fillId="11" borderId="1" xfId="0" applyNumberFormat="1" applyFont="1" applyFill="1" applyBorder="1"/>
    <xf numFmtId="0" fontId="23" fillId="43" borderId="73" xfId="0" applyFont="1" applyFill="1" applyBorder="1" applyAlignment="1">
      <alignment horizontal="left" textRotation="90" wrapText="1"/>
    </xf>
    <xf numFmtId="2" fontId="59" fillId="11" borderId="73" xfId="0" applyNumberFormat="1" applyFont="1" applyFill="1" applyBorder="1"/>
    <xf numFmtId="2" fontId="59" fillId="15" borderId="73" xfId="0" applyNumberFormat="1" applyFont="1" applyFill="1" applyBorder="1"/>
    <xf numFmtId="0" fontId="58" fillId="0" borderId="129" xfId="0" applyFont="1" applyFill="1" applyBorder="1" applyAlignment="1">
      <alignment horizontal="center" vertical="center" wrapText="1"/>
    </xf>
    <xf numFmtId="2" fontId="59" fillId="11" borderId="129" xfId="0" applyNumberFormat="1" applyFont="1" applyFill="1" applyBorder="1"/>
    <xf numFmtId="2" fontId="59" fillId="15" borderId="115" xfId="0" applyNumberFormat="1" applyFont="1" applyFill="1" applyBorder="1"/>
    <xf numFmtId="0" fontId="58" fillId="31" borderId="127" xfId="0" applyFont="1" applyFill="1" applyBorder="1"/>
    <xf numFmtId="0" fontId="58" fillId="0" borderId="94" xfId="0" applyFont="1" applyFill="1" applyBorder="1" applyAlignment="1">
      <alignment horizontal="center" vertical="center" wrapText="1"/>
    </xf>
    <xf numFmtId="0" fontId="58" fillId="12" borderId="54" xfId="0" applyFont="1" applyFill="1" applyBorder="1"/>
    <xf numFmtId="0" fontId="58" fillId="31" borderId="54" xfId="0" applyFont="1" applyFill="1" applyBorder="1"/>
    <xf numFmtId="2" fontId="59" fillId="11" borderId="43" xfId="0" applyNumberFormat="1" applyFont="1" applyFill="1" applyBorder="1"/>
    <xf numFmtId="2" fontId="59" fillId="15" borderId="43" xfId="0" applyNumberFormat="1" applyFont="1" applyFill="1" applyBorder="1"/>
    <xf numFmtId="2" fontId="59" fillId="15" borderId="93" xfId="0" applyNumberFormat="1" applyFont="1" applyFill="1" applyBorder="1"/>
    <xf numFmtId="0" fontId="89" fillId="0" borderId="132" xfId="0" applyFont="1" applyFill="1" applyBorder="1"/>
    <xf numFmtId="0" fontId="58" fillId="56" borderId="132" xfId="0" applyFont="1" applyFill="1" applyBorder="1"/>
    <xf numFmtId="164" fontId="59" fillId="36" borderId="132" xfId="0" applyNumberFormat="1" applyFont="1" applyFill="1" applyBorder="1"/>
    <xf numFmtId="2" fontId="59" fillId="15" borderId="132" xfId="0" applyNumberFormat="1" applyFont="1" applyFill="1" applyBorder="1"/>
    <xf numFmtId="2" fontId="59" fillId="15" borderId="32" xfId="0" applyNumberFormat="1" applyFont="1" applyFill="1" applyBorder="1"/>
    <xf numFmtId="2" fontId="59" fillId="15" borderId="107" xfId="0" applyNumberFormat="1" applyFont="1" applyFill="1" applyBorder="1"/>
    <xf numFmtId="2" fontId="58" fillId="2" borderId="132" xfId="0" applyNumberFormat="1" applyFont="1" applyFill="1" applyBorder="1"/>
    <xf numFmtId="164" fontId="59" fillId="35" borderId="127" xfId="0" applyNumberFormat="1" applyFont="1" applyFill="1" applyBorder="1"/>
    <xf numFmtId="2" fontId="58" fillId="39" borderId="127" xfId="0" applyNumberFormat="1" applyFont="1" applyFill="1" applyBorder="1"/>
    <xf numFmtId="164" fontId="59" fillId="36" borderId="131" xfId="0" applyNumberFormat="1" applyFont="1" applyFill="1" applyBorder="1"/>
    <xf numFmtId="2" fontId="59" fillId="15" borderId="131" xfId="0" applyNumberFormat="1" applyFont="1" applyFill="1" applyBorder="1"/>
    <xf numFmtId="2" fontId="59" fillId="15" borderId="72" xfId="0" applyNumberFormat="1" applyFont="1" applyFill="1" applyBorder="1"/>
    <xf numFmtId="2" fontId="59" fillId="15" borderId="134" xfId="0" applyNumberFormat="1" applyFont="1" applyFill="1" applyBorder="1"/>
    <xf numFmtId="2" fontId="58" fillId="2" borderId="131" xfId="0" applyNumberFormat="1" applyFont="1" applyFill="1" applyBorder="1"/>
    <xf numFmtId="2" fontId="58" fillId="39" borderId="131" xfId="0" applyNumberFormat="1" applyFont="1" applyFill="1" applyBorder="1"/>
    <xf numFmtId="0" fontId="58" fillId="39" borderId="131" xfId="0" applyFont="1" applyFill="1" applyBorder="1"/>
    <xf numFmtId="2" fontId="59" fillId="15" borderId="34" xfId="0" applyNumberFormat="1" applyFont="1" applyFill="1" applyBorder="1"/>
    <xf numFmtId="2" fontId="59" fillId="15" borderId="35" xfId="0" applyNumberFormat="1" applyFont="1" applyFill="1" applyBorder="1"/>
    <xf numFmtId="2" fontId="59" fillId="15" borderId="10" xfId="0" applyNumberFormat="1" applyFont="1" applyFill="1" applyBorder="1"/>
    <xf numFmtId="2" fontId="59" fillId="15" borderId="42" xfId="0" applyNumberFormat="1" applyFont="1" applyFill="1" applyBorder="1"/>
    <xf numFmtId="2" fontId="58" fillId="2" borderId="115" xfId="0" applyNumberFormat="1" applyFont="1" applyFill="1" applyBorder="1"/>
    <xf numFmtId="0" fontId="58" fillId="39" borderId="82" xfId="0" applyFont="1" applyFill="1" applyBorder="1"/>
    <xf numFmtId="0" fontId="58" fillId="39" borderId="56" xfId="0" applyFont="1" applyFill="1" applyBorder="1"/>
    <xf numFmtId="0" fontId="58" fillId="39" borderId="55" xfId="0" applyFont="1" applyFill="1" applyBorder="1"/>
    <xf numFmtId="0" fontId="58" fillId="39" borderId="25" xfId="0" applyFont="1" applyFill="1" applyBorder="1"/>
    <xf numFmtId="0" fontId="58" fillId="0" borderId="54" xfId="0" applyFont="1" applyBorder="1"/>
    <xf numFmtId="2" fontId="58" fillId="39" borderId="43" xfId="0" applyNumberFormat="1" applyFont="1" applyFill="1" applyBorder="1"/>
    <xf numFmtId="2" fontId="58" fillId="39" borderId="93" xfId="0" applyNumberFormat="1" applyFont="1" applyFill="1" applyBorder="1"/>
    <xf numFmtId="2" fontId="58" fillId="39" borderId="134" xfId="0" applyNumberFormat="1" applyFont="1" applyFill="1" applyBorder="1"/>
    <xf numFmtId="2" fontId="58" fillId="39" borderId="10" xfId="0" applyNumberFormat="1" applyFont="1" applyFill="1" applyBorder="1"/>
    <xf numFmtId="0" fontId="58" fillId="0" borderId="131" xfId="0" applyFont="1" applyBorder="1"/>
    <xf numFmtId="0" fontId="58" fillId="13" borderId="73" xfId="0" applyFont="1" applyFill="1" applyBorder="1"/>
    <xf numFmtId="0" fontId="58" fillId="13" borderId="133" xfId="0" applyFont="1" applyFill="1" applyBorder="1"/>
    <xf numFmtId="164" fontId="59" fillId="35" borderId="17" xfId="0" applyNumberFormat="1" applyFont="1" applyFill="1" applyBorder="1"/>
    <xf numFmtId="164" fontId="58" fillId="0" borderId="0" xfId="0" applyNumberFormat="1" applyFont="1" applyFill="1" applyBorder="1"/>
    <xf numFmtId="2" fontId="58" fillId="39" borderId="44" xfId="0" applyNumberFormat="1" applyFont="1" applyFill="1" applyBorder="1"/>
    <xf numFmtId="2" fontId="58" fillId="39" borderId="40" xfId="0" applyNumberFormat="1" applyFont="1" applyFill="1" applyBorder="1"/>
    <xf numFmtId="2" fontId="58" fillId="39" borderId="90" xfId="0" applyNumberFormat="1" applyFont="1" applyFill="1" applyBorder="1"/>
    <xf numFmtId="0" fontId="58" fillId="16" borderId="125" xfId="0" applyFont="1" applyFill="1" applyBorder="1" applyAlignment="1">
      <alignment horizontal="left" textRotation="90" wrapText="1"/>
    </xf>
    <xf numFmtId="4" fontId="58" fillId="3" borderId="35" xfId="0" applyNumberFormat="1" applyFont="1" applyFill="1" applyBorder="1"/>
    <xf numFmtId="4" fontId="58" fillId="4" borderId="80" xfId="0" applyNumberFormat="1" applyFont="1" applyFill="1" applyBorder="1"/>
    <xf numFmtId="4" fontId="58" fillId="4" borderId="73" xfId="0" applyNumberFormat="1" applyFont="1" applyFill="1" applyBorder="1"/>
    <xf numFmtId="4" fontId="58" fillId="4" borderId="13" xfId="0" applyNumberFormat="1" applyFont="1" applyFill="1" applyBorder="1"/>
    <xf numFmtId="4" fontId="58" fillId="4" borderId="71" xfId="0" applyNumberFormat="1" applyFont="1" applyFill="1" applyBorder="1"/>
    <xf numFmtId="0" fontId="91" fillId="4" borderId="135" xfId="0" applyFont="1" applyFill="1" applyBorder="1"/>
    <xf numFmtId="0" fontId="91" fillId="55" borderId="46" xfId="0" applyFont="1" applyFill="1" applyBorder="1"/>
    <xf numFmtId="0" fontId="71" fillId="31" borderId="46" xfId="0" applyFont="1" applyFill="1" applyBorder="1"/>
    <xf numFmtId="0" fontId="74" fillId="15" borderId="114" xfId="0" applyFont="1" applyFill="1" applyBorder="1" applyAlignment="1">
      <alignment horizontal="left" textRotation="90" wrapText="1"/>
    </xf>
    <xf numFmtId="0" fontId="58" fillId="12" borderId="46" xfId="0" applyFont="1" applyFill="1" applyBorder="1"/>
    <xf numFmtId="0" fontId="58" fillId="31" borderId="46" xfId="0" applyFont="1" applyFill="1" applyBorder="1"/>
    <xf numFmtId="4" fontId="89" fillId="6" borderId="31" xfId="0" applyNumberFormat="1" applyFont="1" applyFill="1" applyBorder="1" applyProtection="1">
      <protection locked="0"/>
    </xf>
    <xf numFmtId="4" fontId="89" fillId="6" borderId="114" xfId="0" applyNumberFormat="1" applyFont="1" applyFill="1" applyBorder="1" applyProtection="1">
      <protection locked="0"/>
    </xf>
    <xf numFmtId="4" fontId="89" fillId="6" borderId="30" xfId="0" applyNumberFormat="1" applyFont="1" applyFill="1" applyBorder="1" applyProtection="1">
      <protection locked="0"/>
    </xf>
    <xf numFmtId="4" fontId="89" fillId="6" borderId="59" xfId="0" applyNumberFormat="1" applyFont="1" applyFill="1" applyBorder="1" applyProtection="1">
      <protection locked="0"/>
    </xf>
    <xf numFmtId="0" fontId="91" fillId="4" borderId="0" xfId="0" applyFont="1" applyFill="1" applyBorder="1"/>
    <xf numFmtId="0" fontId="91" fillId="55" borderId="0" xfId="0" applyFont="1" applyFill="1" applyBorder="1"/>
    <xf numFmtId="0" fontId="71" fillId="31" borderId="0" xfId="0" applyFont="1" applyFill="1" applyBorder="1"/>
    <xf numFmtId="0" fontId="58" fillId="0" borderId="43" xfId="0" applyFont="1" applyBorder="1" applyAlignment="1">
      <alignment horizontal="center" vertical="center" wrapText="1"/>
    </xf>
    <xf numFmtId="0" fontId="91" fillId="4" borderId="54" xfId="0" applyFont="1" applyFill="1" applyBorder="1"/>
    <xf numFmtId="0" fontId="91" fillId="55" borderId="54" xfId="0" applyFont="1" applyFill="1" applyBorder="1"/>
    <xf numFmtId="0" fontId="71" fillId="31" borderId="54" xfId="0" applyFont="1" applyFill="1" applyBorder="1"/>
    <xf numFmtId="0" fontId="58" fillId="0" borderId="43" xfId="0" applyFont="1" applyFill="1" applyBorder="1" applyAlignment="1">
      <alignment horizontal="left" textRotation="90" wrapText="1"/>
    </xf>
    <xf numFmtId="4" fontId="58" fillId="3" borderId="10" xfId="0" applyNumberFormat="1" applyFont="1" applyFill="1" applyBorder="1"/>
    <xf numFmtId="4" fontId="89" fillId="36" borderId="94" xfId="0" applyNumberFormat="1" applyFont="1" applyFill="1" applyBorder="1" applyProtection="1">
      <protection locked="0"/>
    </xf>
    <xf numFmtId="4" fontId="89" fillId="36" borderId="134" xfId="0" applyNumberFormat="1" applyFont="1" applyFill="1" applyBorder="1" applyProtection="1">
      <protection locked="0"/>
    </xf>
    <xf numFmtId="4" fontId="89" fillId="36" borderId="54" xfId="0" applyNumberFormat="1" applyFont="1" applyFill="1" applyBorder="1" applyProtection="1">
      <protection locked="0"/>
    </xf>
    <xf numFmtId="4" fontId="89" fillId="36" borderId="93" xfId="0" applyNumberFormat="1" applyFont="1" applyFill="1" applyBorder="1" applyProtection="1">
      <protection locked="0"/>
    </xf>
    <xf numFmtId="4" fontId="89" fillId="36" borderId="10" xfId="0" applyNumberFormat="1" applyFont="1" applyFill="1" applyBorder="1" applyProtection="1">
      <protection locked="0"/>
    </xf>
    <xf numFmtId="4" fontId="89" fillId="36" borderId="136" xfId="0" applyNumberFormat="1" applyFont="1" applyFill="1" applyBorder="1" applyProtection="1">
      <protection locked="0"/>
    </xf>
    <xf numFmtId="0" fontId="58" fillId="0" borderId="82" xfId="0" applyFont="1" applyBorder="1" applyAlignment="1">
      <alignment horizontal="left" textRotation="90" wrapText="1"/>
    </xf>
    <xf numFmtId="4" fontId="59" fillId="36" borderId="82" xfId="0" applyNumberFormat="1" applyFont="1" applyFill="1" applyBorder="1"/>
    <xf numFmtId="4" fontId="59" fillId="36" borderId="93" xfId="0" applyNumberFormat="1" applyFont="1" applyFill="1" applyBorder="1"/>
    <xf numFmtId="4" fontId="59" fillId="36" borderId="56" xfId="0" applyNumberFormat="1" applyFont="1" applyFill="1" applyBorder="1"/>
    <xf numFmtId="4" fontId="59" fillId="36" borderId="137" xfId="0" applyNumberFormat="1" applyFont="1" applyFill="1" applyBorder="1"/>
    <xf numFmtId="4" fontId="59" fillId="36" borderId="99" xfId="0" applyNumberFormat="1" applyFont="1" applyFill="1" applyBorder="1"/>
    <xf numFmtId="4" fontId="59" fillId="36" borderId="10" xfId="0" applyNumberFormat="1" applyFont="1" applyFill="1" applyBorder="1"/>
    <xf numFmtId="4" fontId="59" fillId="36" borderId="25" xfId="0" applyNumberFormat="1" applyFont="1" applyFill="1" applyBorder="1"/>
    <xf numFmtId="4" fontId="58" fillId="3" borderId="25" xfId="0" applyNumberFormat="1" applyFont="1" applyFill="1" applyBorder="1"/>
    <xf numFmtId="0" fontId="74" fillId="7" borderId="84" xfId="0" applyFont="1" applyFill="1" applyBorder="1" applyAlignment="1">
      <alignment horizontal="left" textRotation="90" wrapText="1"/>
    </xf>
    <xf numFmtId="0" fontId="58" fillId="43" borderId="73" xfId="0" applyFont="1" applyFill="1" applyBorder="1" applyAlignment="1">
      <alignment horizontal="left" textRotation="90" wrapText="1"/>
    </xf>
    <xf numFmtId="0" fontId="58" fillId="43" borderId="84" xfId="0" applyFont="1" applyFill="1" applyBorder="1" applyAlignment="1">
      <alignment horizontal="left" textRotation="90" wrapText="1"/>
    </xf>
    <xf numFmtId="0" fontId="74" fillId="49" borderId="114" xfId="0" applyFont="1" applyFill="1" applyBorder="1" applyAlignment="1">
      <alignment horizontal="left" textRotation="90" wrapText="1"/>
    </xf>
    <xf numFmtId="0" fontId="74" fillId="9" borderId="114" xfId="0" applyFont="1" applyFill="1" applyBorder="1" applyAlignment="1">
      <alignment horizontal="left" textRotation="90" wrapText="1"/>
    </xf>
    <xf numFmtId="0" fontId="74" fillId="24" borderId="114" xfId="0" applyFont="1" applyFill="1" applyBorder="1" applyAlignment="1">
      <alignment horizontal="left" textRotation="90" wrapText="1"/>
    </xf>
    <xf numFmtId="0" fontId="58" fillId="0" borderId="114" xfId="0" applyFont="1" applyFill="1" applyBorder="1" applyAlignment="1">
      <alignment horizontal="left" textRotation="90" wrapText="1"/>
    </xf>
    <xf numFmtId="2" fontId="58" fillId="6" borderId="82" xfId="0" applyNumberFormat="1" applyFont="1" applyFill="1" applyBorder="1" applyProtection="1">
      <protection locked="0"/>
    </xf>
    <xf numFmtId="2" fontId="58" fillId="6" borderId="114" xfId="0" applyNumberFormat="1" applyFont="1" applyFill="1" applyBorder="1" applyProtection="1">
      <protection locked="0"/>
    </xf>
    <xf numFmtId="2" fontId="58" fillId="6" borderId="31" xfId="0" applyNumberFormat="1" applyFont="1" applyFill="1" applyBorder="1" applyProtection="1">
      <protection locked="0"/>
    </xf>
    <xf numFmtId="2" fontId="58" fillId="6" borderId="137" xfId="0" applyNumberFormat="1" applyFont="1" applyFill="1" applyBorder="1" applyProtection="1">
      <protection locked="0"/>
    </xf>
    <xf numFmtId="2" fontId="58" fillId="6" borderId="20" xfId="0" applyNumberFormat="1" applyFont="1" applyFill="1" applyBorder="1" applyProtection="1">
      <protection locked="0"/>
    </xf>
    <xf numFmtId="2" fontId="58" fillId="6" borderId="56" xfId="0" applyNumberFormat="1" applyFont="1" applyFill="1" applyBorder="1" applyProtection="1">
      <protection locked="0"/>
    </xf>
    <xf numFmtId="2" fontId="58" fillId="6" borderId="37" xfId="0" applyNumberFormat="1" applyFont="1" applyFill="1" applyBorder="1" applyProtection="1">
      <protection locked="0"/>
    </xf>
    <xf numFmtId="2" fontId="58" fillId="6" borderId="25" xfId="0" applyNumberFormat="1" applyFont="1" applyFill="1" applyBorder="1" applyProtection="1">
      <protection locked="0"/>
    </xf>
    <xf numFmtId="0" fontId="94" fillId="16" borderId="38" xfId="0" applyFont="1" applyFill="1" applyBorder="1" applyProtection="1">
      <protection locked="0"/>
    </xf>
    <xf numFmtId="0" fontId="94" fillId="16" borderId="129" xfId="0" applyFont="1" applyFill="1" applyBorder="1" applyProtection="1">
      <protection locked="0"/>
    </xf>
    <xf numFmtId="0" fontId="71" fillId="39" borderId="44" xfId="0" applyFont="1" applyFill="1" applyBorder="1"/>
    <xf numFmtId="0" fontId="71" fillId="39" borderId="125" xfId="0" applyFont="1" applyFill="1" applyBorder="1"/>
    <xf numFmtId="0" fontId="94" fillId="16" borderId="128" xfId="0" applyFont="1" applyFill="1" applyBorder="1" applyProtection="1">
      <protection locked="0"/>
    </xf>
    <xf numFmtId="0" fontId="71" fillId="35" borderId="44" xfId="0" applyFont="1" applyFill="1" applyBorder="1"/>
    <xf numFmtId="0" fontId="71" fillId="35" borderId="125" xfId="0" applyFont="1" applyFill="1" applyBorder="1"/>
    <xf numFmtId="0" fontId="71" fillId="35" borderId="40" xfId="0" applyFont="1" applyFill="1" applyBorder="1"/>
    <xf numFmtId="0" fontId="71" fillId="48" borderId="44" xfId="0" applyFont="1" applyFill="1" applyBorder="1"/>
    <xf numFmtId="0" fontId="71" fillId="48" borderId="125" xfId="0" applyFont="1" applyFill="1" applyBorder="1"/>
    <xf numFmtId="0" fontId="94" fillId="16" borderId="91" xfId="0" applyFont="1" applyFill="1" applyBorder="1" applyProtection="1">
      <protection locked="0"/>
    </xf>
    <xf numFmtId="0" fontId="71" fillId="36" borderId="39" xfId="0" applyFont="1" applyFill="1" applyBorder="1"/>
    <xf numFmtId="0" fontId="56" fillId="0" borderId="0" xfId="0" applyFont="1" applyFill="1"/>
    <xf numFmtId="0" fontId="180" fillId="0" borderId="0" xfId="0" applyFont="1" applyFill="1"/>
    <xf numFmtId="165" fontId="182" fillId="4" borderId="0" xfId="0" applyNumberFormat="1" applyFont="1" applyFill="1"/>
    <xf numFmtId="0" fontId="183" fillId="4" borderId="0" xfId="0" applyFont="1" applyFill="1"/>
    <xf numFmtId="0" fontId="183" fillId="0" borderId="0" xfId="0" applyFont="1" applyFill="1"/>
    <xf numFmtId="0" fontId="180" fillId="31" borderId="0" xfId="0" applyFont="1" applyFill="1"/>
    <xf numFmtId="0" fontId="180" fillId="0" borderId="133" xfId="0" applyFont="1" applyFill="1" applyBorder="1" applyAlignment="1">
      <alignment horizontal="left" vertical="center" wrapText="1"/>
    </xf>
    <xf numFmtId="0" fontId="180" fillId="0" borderId="133" xfId="0" applyFont="1" applyFill="1" applyBorder="1" applyAlignment="1">
      <alignment horizontal="left" vertical="center"/>
    </xf>
    <xf numFmtId="0" fontId="181" fillId="0" borderId="4" xfId="1" applyFont="1" applyBorder="1" applyAlignment="1">
      <alignment vertical="top"/>
    </xf>
    <xf numFmtId="0" fontId="180" fillId="0" borderId="4" xfId="0" applyFont="1" applyBorder="1"/>
    <xf numFmtId="0" fontId="180" fillId="0" borderId="4" xfId="0" applyFont="1" applyFill="1" applyBorder="1"/>
    <xf numFmtId="0" fontId="186" fillId="0" borderId="133" xfId="0" applyFont="1" applyFill="1" applyBorder="1" applyAlignment="1">
      <alignment vertical="center" wrapText="1"/>
    </xf>
    <xf numFmtId="0" fontId="180" fillId="0" borderId="133" xfId="0" applyFont="1" applyBorder="1" applyAlignment="1">
      <alignment vertical="center"/>
    </xf>
    <xf numFmtId="0" fontId="180" fillId="0" borderId="127" xfId="0" applyFont="1" applyBorder="1" applyAlignment="1">
      <alignment horizontal="center" vertical="center" wrapText="1"/>
    </xf>
    <xf numFmtId="49" fontId="186" fillId="0" borderId="133" xfId="0" applyNumberFormat="1" applyFont="1" applyFill="1" applyBorder="1" applyAlignment="1" applyProtection="1">
      <alignment horizontal="left" vertical="center" wrapText="1"/>
      <protection locked="0"/>
    </xf>
    <xf numFmtId="0" fontId="180" fillId="49" borderId="133" xfId="0" applyFont="1" applyFill="1" applyBorder="1" applyAlignment="1">
      <alignment horizontal="center" vertical="center"/>
    </xf>
    <xf numFmtId="0" fontId="180" fillId="6" borderId="133" xfId="0" applyFont="1" applyFill="1" applyBorder="1" applyAlignment="1">
      <alignment horizontal="center" vertical="center"/>
    </xf>
    <xf numFmtId="0" fontId="180" fillId="46" borderId="133" xfId="0" applyFont="1" applyFill="1" applyBorder="1" applyAlignment="1">
      <alignment horizontal="center" vertical="center"/>
    </xf>
    <xf numFmtId="0" fontId="180" fillId="23" borderId="133" xfId="0" applyFont="1" applyFill="1" applyBorder="1" applyAlignment="1">
      <alignment horizontal="center" vertical="center"/>
    </xf>
    <xf numFmtId="0" fontId="180" fillId="32" borderId="133" xfId="0" applyFont="1" applyFill="1" applyBorder="1" applyAlignment="1">
      <alignment horizontal="center" vertical="center"/>
    </xf>
    <xf numFmtId="0" fontId="180" fillId="62" borderId="133" xfId="0" applyFont="1" applyFill="1" applyBorder="1" applyAlignment="1">
      <alignment horizontal="center" vertical="center"/>
    </xf>
    <xf numFmtId="0" fontId="180" fillId="63" borderId="133" xfId="0" applyFont="1" applyFill="1" applyBorder="1" applyAlignment="1">
      <alignment horizontal="center" vertical="center"/>
    </xf>
    <xf numFmtId="0" fontId="180" fillId="0" borderId="133" xfId="0" applyFont="1" applyBorder="1" applyAlignment="1">
      <alignment horizontal="left" vertical="center"/>
    </xf>
    <xf numFmtId="49" fontId="186" fillId="0" borderId="133" xfId="0" applyNumberFormat="1" applyFont="1" applyBorder="1" applyAlignment="1">
      <alignment horizontal="left" vertical="center" wrapText="1"/>
    </xf>
    <xf numFmtId="0" fontId="194" fillId="0" borderId="133" xfId="0" applyFont="1" applyBorder="1" applyAlignment="1">
      <alignment horizontal="left" vertical="top" wrapText="1"/>
    </xf>
    <xf numFmtId="0" fontId="193" fillId="0" borderId="133" xfId="0" applyFont="1" applyBorder="1" applyAlignment="1">
      <alignment horizontal="left" vertical="top"/>
    </xf>
    <xf numFmtId="49" fontId="194" fillId="0" borderId="133" xfId="0" applyNumberFormat="1" applyFont="1" applyBorder="1" applyAlignment="1" applyProtection="1">
      <alignment horizontal="left" vertical="top" wrapText="1"/>
      <protection locked="0"/>
    </xf>
    <xf numFmtId="0" fontId="186" fillId="0" borderId="133" xfId="0" applyFont="1" applyBorder="1" applyAlignment="1">
      <alignment vertical="center" wrapText="1"/>
    </xf>
    <xf numFmtId="0" fontId="180" fillId="0" borderId="133" xfId="0" applyFont="1" applyBorder="1"/>
    <xf numFmtId="0" fontId="180" fillId="13" borderId="133" xfId="0" applyFont="1" applyFill="1" applyBorder="1" applyAlignment="1">
      <alignment horizontal="center" vertical="center"/>
    </xf>
    <xf numFmtId="0" fontId="180" fillId="0" borderId="133" xfId="0" applyFont="1" applyBorder="1" applyAlignment="1">
      <alignment wrapText="1"/>
    </xf>
    <xf numFmtId="0" fontId="180" fillId="0" borderId="133" xfId="0" applyFont="1" applyFill="1" applyBorder="1"/>
    <xf numFmtId="0" fontId="194" fillId="0" borderId="133" xfId="0" applyFont="1" applyBorder="1" applyAlignment="1">
      <alignment vertical="center" wrapText="1"/>
    </xf>
    <xf numFmtId="0" fontId="193" fillId="65" borderId="133" xfId="0" applyFont="1" applyFill="1" applyBorder="1" applyAlignment="1">
      <alignment horizontal="center" vertical="center"/>
    </xf>
    <xf numFmtId="0" fontId="193" fillId="0" borderId="133" xfId="0" applyFont="1" applyBorder="1" applyAlignment="1">
      <alignment horizontal="left" vertical="center"/>
    </xf>
    <xf numFmtId="49" fontId="194" fillId="0" borderId="133" xfId="0" applyNumberFormat="1" applyFont="1" applyBorder="1" applyAlignment="1" applyProtection="1">
      <alignment horizontal="left" vertical="center" wrapText="1"/>
      <protection locked="0"/>
    </xf>
    <xf numFmtId="0" fontId="180" fillId="0" borderId="133" xfId="0" applyFont="1" applyBorder="1" applyAlignment="1">
      <alignment vertical="center" wrapText="1"/>
    </xf>
    <xf numFmtId="49" fontId="180" fillId="0" borderId="133" xfId="0" applyNumberFormat="1" applyFont="1" applyFill="1" applyBorder="1" applyAlignment="1" applyProtection="1">
      <alignment horizontal="left" vertical="center" wrapText="1"/>
      <protection locked="0"/>
    </xf>
    <xf numFmtId="0" fontId="193" fillId="67" borderId="133" xfId="0" applyFont="1" applyFill="1" applyBorder="1" applyAlignment="1">
      <alignment horizontal="left" vertical="center"/>
    </xf>
    <xf numFmtId="49" fontId="194" fillId="67" borderId="133" xfId="0" applyNumberFormat="1" applyFont="1" applyFill="1" applyBorder="1" applyAlignment="1" applyProtection="1">
      <alignment horizontal="left" vertical="center" wrapText="1"/>
      <protection locked="0"/>
    </xf>
    <xf numFmtId="0" fontId="184" fillId="0" borderId="127" xfId="0" applyFont="1" applyFill="1" applyBorder="1" applyAlignment="1">
      <alignment horizontal="center" vertical="center" wrapText="1"/>
    </xf>
    <xf numFmtId="0" fontId="180" fillId="0" borderId="130" xfId="0" applyFont="1" applyFill="1" applyBorder="1" applyAlignment="1">
      <alignment horizontal="left" vertical="top" wrapText="1"/>
    </xf>
    <xf numFmtId="0" fontId="188" fillId="64" borderId="133" xfId="0" applyFont="1" applyFill="1" applyBorder="1" applyAlignment="1">
      <alignment horizontal="center" vertical="center"/>
    </xf>
    <xf numFmtId="0" fontId="188" fillId="0" borderId="133" xfId="0" applyFont="1" applyBorder="1" applyAlignment="1">
      <alignment horizontal="left" vertical="center"/>
    </xf>
    <xf numFmtId="0" fontId="186" fillId="0" borderId="133" xfId="0" applyFont="1" applyBorder="1" applyAlignment="1" applyProtection="1">
      <alignment horizontal="left" vertical="center" wrapText="1"/>
      <protection locked="0"/>
    </xf>
    <xf numFmtId="49" fontId="186" fillId="0" borderId="133" xfId="0" applyNumberFormat="1" applyFont="1" applyBorder="1" applyAlignment="1" applyProtection="1">
      <alignment horizontal="left" vertical="center" wrapText="1"/>
      <protection locked="0"/>
    </xf>
    <xf numFmtId="0" fontId="188" fillId="0" borderId="133" xfId="0" applyFont="1" applyBorder="1" applyAlignment="1">
      <alignment vertical="center"/>
    </xf>
    <xf numFmtId="0" fontId="188" fillId="0" borderId="133" xfId="0" applyFont="1" applyBorder="1" applyAlignment="1">
      <alignment vertical="center" wrapText="1"/>
    </xf>
    <xf numFmtId="0" fontId="193" fillId="66" borderId="133" xfId="0" applyFont="1" applyFill="1" applyBorder="1" applyAlignment="1">
      <alignment horizontal="center" vertical="center"/>
    </xf>
    <xf numFmtId="49" fontId="195" fillId="0" borderId="133" xfId="0" applyNumberFormat="1" applyFont="1" applyBorder="1" applyAlignment="1" applyProtection="1">
      <alignment horizontal="left" vertical="center" wrapText="1"/>
      <protection locked="0"/>
    </xf>
    <xf numFmtId="0" fontId="180" fillId="40" borderId="133" xfId="13" applyFont="1" applyFill="1" applyBorder="1" applyAlignment="1">
      <alignment horizontal="center" vertical="center" wrapText="1"/>
    </xf>
    <xf numFmtId="0" fontId="194" fillId="0" borderId="133" xfId="14" applyFont="1" applyBorder="1" applyAlignment="1">
      <alignment vertical="center" wrapText="1"/>
    </xf>
    <xf numFmtId="0" fontId="193" fillId="40" borderId="133" xfId="15" applyFont="1" applyFill="1" applyBorder="1" applyAlignment="1">
      <alignment horizontal="center" vertical="center" wrapText="1"/>
    </xf>
    <xf numFmtId="0" fontId="180" fillId="0" borderId="133" xfId="0" applyFont="1" applyFill="1" applyBorder="1" applyAlignment="1">
      <alignment horizontal="left" vertical="top" wrapText="1"/>
    </xf>
    <xf numFmtId="49" fontId="186" fillId="0" borderId="125" xfId="0" applyNumberFormat="1" applyFont="1" applyFill="1" applyBorder="1" applyAlignment="1" applyProtection="1">
      <alignment horizontal="left" vertical="center" wrapText="1"/>
      <protection locked="0"/>
    </xf>
    <xf numFmtId="0" fontId="180" fillId="0" borderId="132" xfId="0" applyFont="1" applyFill="1" applyBorder="1" applyAlignment="1">
      <alignment horizontal="left" vertical="center"/>
    </xf>
    <xf numFmtId="49" fontId="186" fillId="0" borderId="40" xfId="0" applyNumberFormat="1" applyFont="1" applyFill="1" applyBorder="1" applyAlignment="1" applyProtection="1">
      <alignment horizontal="left" vertical="center" wrapText="1"/>
      <protection locked="0"/>
    </xf>
    <xf numFmtId="49" fontId="180" fillId="0" borderId="133" xfId="0" applyNumberFormat="1" applyFont="1" applyBorder="1" applyAlignment="1">
      <alignment vertical="center" wrapText="1"/>
    </xf>
    <xf numFmtId="0" fontId="196" fillId="0" borderId="133" xfId="0" applyFont="1" applyBorder="1" applyAlignment="1">
      <alignment vertical="center" wrapText="1"/>
    </xf>
    <xf numFmtId="0" fontId="197" fillId="64" borderId="133" xfId="0" applyFont="1" applyFill="1" applyBorder="1" applyAlignment="1">
      <alignment horizontal="center" vertical="center"/>
    </xf>
    <xf numFmtId="0" fontId="197" fillId="0" borderId="133" xfId="0" applyFont="1" applyBorder="1" applyAlignment="1">
      <alignment horizontal="left" vertical="center"/>
    </xf>
    <xf numFmtId="49" fontId="196" fillId="0" borderId="133" xfId="0" applyNumberFormat="1" applyFont="1" applyBorder="1" applyAlignment="1" applyProtection="1">
      <alignment horizontal="left" vertical="center" wrapText="1"/>
      <protection locked="0"/>
    </xf>
    <xf numFmtId="49" fontId="198" fillId="0" borderId="133" xfId="0" applyNumberFormat="1" applyFont="1" applyBorder="1" applyAlignment="1" applyProtection="1">
      <alignment horizontal="left" vertical="center" wrapText="1"/>
      <protection locked="0"/>
    </xf>
    <xf numFmtId="49" fontId="180" fillId="0" borderId="133" xfId="0" applyNumberFormat="1" applyFont="1" applyBorder="1" applyAlignment="1">
      <alignment vertical="top" wrapText="1"/>
    </xf>
    <xf numFmtId="49" fontId="194" fillId="0" borderId="125" xfId="0" applyNumberFormat="1" applyFont="1" applyBorder="1" applyAlignment="1" applyProtection="1">
      <alignment horizontal="left" vertical="top" wrapText="1"/>
      <protection locked="0"/>
    </xf>
    <xf numFmtId="0" fontId="180" fillId="0" borderId="131" xfId="0" applyFont="1" applyFill="1" applyBorder="1" applyAlignment="1">
      <alignment horizontal="left" vertical="center"/>
    </xf>
    <xf numFmtId="49" fontId="186" fillId="0" borderId="133" xfId="0" applyNumberFormat="1" applyFont="1" applyFill="1" applyBorder="1" applyAlignment="1">
      <alignment horizontal="left" vertical="center" wrapText="1"/>
    </xf>
    <xf numFmtId="49" fontId="194" fillId="0" borderId="133" xfId="0" applyNumberFormat="1" applyFont="1" applyBorder="1" applyAlignment="1" applyProtection="1">
      <alignment vertical="center" wrapText="1"/>
      <protection locked="0"/>
    </xf>
    <xf numFmtId="0" fontId="180" fillId="23" borderId="73" xfId="0" applyFont="1" applyFill="1" applyBorder="1" applyAlignment="1">
      <alignment horizontal="center" vertical="center"/>
    </xf>
    <xf numFmtId="0" fontId="180" fillId="0" borderId="0" xfId="0" applyFont="1" applyFill="1" applyBorder="1" applyAlignment="1">
      <alignment horizontal="left" vertical="center"/>
    </xf>
    <xf numFmtId="0" fontId="180" fillId="0" borderId="133" xfId="0" applyFont="1" applyBorder="1" applyAlignment="1">
      <alignment horizontal="left" vertical="top"/>
    </xf>
    <xf numFmtId="0" fontId="180" fillId="0" borderId="12" xfId="0" applyFont="1" applyFill="1" applyBorder="1" applyAlignment="1">
      <alignment horizontal="left" vertical="center"/>
    </xf>
    <xf numFmtId="0" fontId="180" fillId="0" borderId="127" xfId="0" applyFont="1" applyFill="1" applyBorder="1" applyAlignment="1">
      <alignment horizontal="left" vertical="center" wrapText="1"/>
    </xf>
    <xf numFmtId="49" fontId="186" fillId="0" borderId="139" xfId="0" applyNumberFormat="1" applyFont="1" applyFill="1" applyBorder="1" applyAlignment="1" applyProtection="1">
      <alignment horizontal="left" vertical="center" wrapText="1"/>
      <protection locked="0"/>
    </xf>
    <xf numFmtId="49" fontId="186" fillId="0" borderId="133" xfId="0" applyNumberFormat="1" applyFont="1" applyBorder="1" applyAlignment="1" applyProtection="1">
      <alignment horizontal="left" vertical="top" wrapText="1"/>
      <protection locked="0"/>
    </xf>
    <xf numFmtId="49" fontId="186" fillId="0" borderId="52" xfId="0" applyNumberFormat="1" applyFont="1" applyFill="1" applyBorder="1" applyAlignment="1" applyProtection="1">
      <alignment horizontal="left" vertical="center" wrapText="1"/>
      <protection locked="0"/>
    </xf>
    <xf numFmtId="49" fontId="186" fillId="0" borderId="130" xfId="0" applyNumberFormat="1" applyFont="1" applyFill="1" applyBorder="1" applyAlignment="1" applyProtection="1">
      <alignment horizontal="left" vertical="center" wrapText="1"/>
      <protection locked="0"/>
    </xf>
    <xf numFmtId="49" fontId="194" fillId="0" borderId="138" xfId="0" applyNumberFormat="1" applyFont="1" applyBorder="1" applyAlignment="1" applyProtection="1">
      <alignment horizontal="left" vertical="center" wrapText="1"/>
      <protection locked="0"/>
    </xf>
    <xf numFmtId="0" fontId="180" fillId="46" borderId="133" xfId="0" applyFont="1" applyFill="1" applyBorder="1" applyAlignment="1">
      <alignment horizontal="center"/>
    </xf>
    <xf numFmtId="0" fontId="49" fillId="6" borderId="5" xfId="0" applyFont="1" applyFill="1" applyBorder="1" applyAlignment="1">
      <alignment horizontal="center" vertical="center" wrapText="1"/>
    </xf>
    <xf numFmtId="0" fontId="49" fillId="6" borderId="26" xfId="0" applyFont="1" applyFill="1" applyBorder="1" applyAlignment="1">
      <alignment horizontal="center" vertical="center" wrapText="1"/>
    </xf>
    <xf numFmtId="0" fontId="57" fillId="35" borderId="5" xfId="0" applyFont="1" applyFill="1" applyBorder="1" applyAlignment="1">
      <alignment horizontal="center" vertical="center" wrapText="1"/>
    </xf>
    <xf numFmtId="0" fontId="63" fillId="35" borderId="5" xfId="0" applyFont="1" applyFill="1" applyBorder="1" applyAlignment="1">
      <alignment horizontal="center" vertical="center"/>
    </xf>
    <xf numFmtId="0" fontId="57" fillId="56" borderId="5" xfId="0" applyFont="1" applyFill="1" applyBorder="1" applyAlignment="1">
      <alignment horizontal="center" vertical="center"/>
    </xf>
    <xf numFmtId="0" fontId="63" fillId="56" borderId="5" xfId="0" applyFont="1" applyFill="1" applyBorder="1" applyAlignment="1">
      <alignment horizontal="center" vertical="center"/>
    </xf>
    <xf numFmtId="0" fontId="63" fillId="56" borderId="84" xfId="0" applyFont="1" applyFill="1" applyBorder="1" applyAlignment="1">
      <alignment horizontal="center" vertical="center"/>
    </xf>
    <xf numFmtId="0" fontId="63" fillId="56" borderId="6" xfId="0" applyFont="1" applyFill="1" applyBorder="1" applyAlignment="1">
      <alignment horizontal="center" vertical="center"/>
    </xf>
    <xf numFmtId="0" fontId="142" fillId="10" borderId="5" xfId="1" applyFont="1" applyFill="1" applyBorder="1" applyAlignment="1">
      <alignment horizontal="center" vertical="center" wrapText="1"/>
    </xf>
    <xf numFmtId="0" fontId="142" fillId="10" borderId="26" xfId="1" applyFont="1" applyFill="1" applyBorder="1" applyAlignment="1">
      <alignment horizontal="center" vertical="center" wrapText="1"/>
    </xf>
    <xf numFmtId="0" fontId="49" fillId="0" borderId="57" xfId="0" applyFont="1" applyFill="1" applyBorder="1" applyAlignment="1">
      <alignment horizontal="center" vertical="center" wrapText="1"/>
    </xf>
    <xf numFmtId="0" fontId="49" fillId="0" borderId="5" xfId="0" applyFont="1" applyFill="1" applyBorder="1" applyAlignment="1">
      <alignment horizontal="center" vertical="center" wrapText="1"/>
    </xf>
    <xf numFmtId="0" fontId="49" fillId="0" borderId="26" xfId="0" applyFont="1" applyFill="1" applyBorder="1" applyAlignment="1">
      <alignment horizontal="center" vertical="center" wrapText="1"/>
    </xf>
    <xf numFmtId="0" fontId="49" fillId="0" borderId="84" xfId="0" applyFont="1" applyFill="1" applyBorder="1" applyAlignment="1">
      <alignment horizontal="center" vertical="center" wrapText="1"/>
    </xf>
    <xf numFmtId="0" fontId="49" fillId="0" borderId="82" xfId="0" applyFont="1" applyFill="1" applyBorder="1" applyAlignment="1">
      <alignment horizontal="center" vertical="center" wrapText="1"/>
    </xf>
    <xf numFmtId="0" fontId="57" fillId="36" borderId="2" xfId="0" applyFont="1" applyFill="1" applyBorder="1" applyAlignment="1">
      <alignment horizontal="center" vertical="center" wrapText="1"/>
    </xf>
    <xf numFmtId="0" fontId="57" fillId="36" borderId="5" xfId="0" applyFont="1" applyFill="1" applyBorder="1" applyAlignment="1">
      <alignment horizontal="center" vertical="center" wrapText="1"/>
    </xf>
    <xf numFmtId="0" fontId="57" fillId="36" borderId="6" xfId="0" applyFont="1" applyFill="1" applyBorder="1" applyAlignment="1">
      <alignment horizontal="center" vertical="center" wrapText="1"/>
    </xf>
    <xf numFmtId="0" fontId="57" fillId="50" borderId="2" xfId="0" applyFont="1" applyFill="1" applyBorder="1" applyAlignment="1">
      <alignment horizontal="center" vertical="center"/>
    </xf>
    <xf numFmtId="0" fontId="57" fillId="50" borderId="5" xfId="0" applyFont="1" applyFill="1" applyBorder="1" applyAlignment="1">
      <alignment horizontal="center" vertical="center"/>
    </xf>
    <xf numFmtId="0" fontId="57" fillId="50" borderId="6" xfId="0" applyFont="1" applyFill="1" applyBorder="1" applyAlignment="1">
      <alignment horizontal="center" vertical="center"/>
    </xf>
    <xf numFmtId="0" fontId="49" fillId="0" borderId="2" xfId="0" applyFont="1" applyFill="1" applyBorder="1" applyAlignment="1">
      <alignment horizontal="center" vertical="center" wrapText="1"/>
    </xf>
    <xf numFmtId="0" fontId="49" fillId="0" borderId="6" xfId="0" applyFont="1" applyFill="1" applyBorder="1" applyAlignment="1">
      <alignment horizontal="center" vertical="center" wrapText="1"/>
    </xf>
    <xf numFmtId="0" fontId="57" fillId="3" borderId="2" xfId="0" applyFont="1" applyFill="1" applyBorder="1" applyAlignment="1">
      <alignment horizontal="center" vertical="center"/>
    </xf>
    <xf numFmtId="0" fontId="57" fillId="3" borderId="5" xfId="0" applyFont="1" applyFill="1" applyBorder="1" applyAlignment="1">
      <alignment horizontal="center" vertical="center"/>
    </xf>
    <xf numFmtId="0" fontId="57" fillId="3" borderId="6" xfId="0" applyFont="1" applyFill="1" applyBorder="1" applyAlignment="1">
      <alignment horizontal="center" vertical="center"/>
    </xf>
    <xf numFmtId="0" fontId="173" fillId="0" borderId="7" xfId="0" applyFont="1" applyBorder="1" applyAlignment="1">
      <alignment horizontal="left" wrapText="1"/>
    </xf>
    <xf numFmtId="0" fontId="173" fillId="0" borderId="8" xfId="0" applyFont="1" applyBorder="1" applyAlignment="1">
      <alignment horizontal="left" wrapText="1"/>
    </xf>
    <xf numFmtId="0" fontId="49" fillId="0" borderId="1" xfId="0" applyFont="1" applyFill="1" applyBorder="1" applyAlignment="1">
      <alignment horizontal="center" vertical="center" wrapText="1"/>
    </xf>
    <xf numFmtId="0" fontId="142" fillId="49" borderId="84" xfId="1" applyFont="1" applyFill="1" applyBorder="1" applyAlignment="1">
      <alignment horizontal="center" vertical="center" wrapText="1"/>
    </xf>
    <xf numFmtId="0" fontId="142" fillId="49" borderId="5" xfId="1" applyFont="1" applyFill="1" applyBorder="1" applyAlignment="1">
      <alignment horizontal="center" vertical="center" wrapText="1"/>
    </xf>
    <xf numFmtId="0" fontId="142" fillId="15" borderId="57" xfId="1" applyFont="1" applyFill="1" applyBorder="1" applyAlignment="1">
      <alignment horizontal="center" vertical="center" wrapText="1"/>
    </xf>
    <xf numFmtId="0" fontId="142" fillId="15" borderId="84" xfId="1" applyFont="1" applyFill="1" applyBorder="1" applyAlignment="1">
      <alignment horizontal="center" vertical="center" wrapText="1"/>
    </xf>
    <xf numFmtId="0" fontId="142" fillId="15" borderId="82" xfId="1" applyFont="1" applyFill="1" applyBorder="1" applyAlignment="1">
      <alignment horizontal="center" vertical="center" wrapText="1"/>
    </xf>
    <xf numFmtId="0" fontId="142" fillId="49" borderId="57" xfId="1" applyFont="1" applyFill="1" applyBorder="1" applyAlignment="1">
      <alignment horizontal="center" vertical="center" wrapText="1"/>
    </xf>
    <xf numFmtId="0" fontId="142" fillId="49" borderId="26" xfId="1" applyFont="1" applyFill="1" applyBorder="1" applyAlignment="1">
      <alignment horizontal="center" vertical="center" wrapText="1"/>
    </xf>
    <xf numFmtId="0" fontId="49" fillId="0" borderId="57" xfId="0" applyFont="1" applyBorder="1" applyAlignment="1">
      <alignment horizontal="center" vertical="center" wrapText="1"/>
    </xf>
    <xf numFmtId="0" fontId="49" fillId="0" borderId="5" xfId="0" applyFont="1" applyBorder="1" applyAlignment="1">
      <alignment horizontal="center" vertical="center" wrapText="1"/>
    </xf>
    <xf numFmtId="0" fontId="49" fillId="0" borderId="26" xfId="0" applyFont="1" applyBorder="1" applyAlignment="1">
      <alignment horizontal="center" vertical="center" wrapText="1"/>
    </xf>
    <xf numFmtId="0" fontId="142" fillId="15" borderId="5" xfId="1" applyFont="1" applyFill="1" applyBorder="1" applyAlignment="1">
      <alignment horizontal="center" vertical="center" wrapText="1"/>
    </xf>
    <xf numFmtId="0" fontId="30" fillId="3" borderId="5" xfId="0" applyFont="1" applyFill="1" applyBorder="1" applyAlignment="1">
      <alignment horizontal="center" vertical="center"/>
    </xf>
    <xf numFmtId="0" fontId="30" fillId="3" borderId="6" xfId="0" applyFont="1" applyFill="1" applyBorder="1" applyAlignment="1">
      <alignment horizontal="center" vertical="center"/>
    </xf>
    <xf numFmtId="0" fontId="30" fillId="50" borderId="2" xfId="0" applyFont="1" applyFill="1" applyBorder="1" applyAlignment="1">
      <alignment horizontal="center" vertical="center"/>
    </xf>
    <xf numFmtId="0" fontId="30" fillId="50" borderId="5" xfId="0" applyFont="1" applyFill="1" applyBorder="1" applyAlignment="1">
      <alignment horizontal="center" vertical="center"/>
    </xf>
    <xf numFmtId="0" fontId="30" fillId="36" borderId="2" xfId="0" applyFont="1" applyFill="1" applyBorder="1" applyAlignment="1">
      <alignment horizontal="center" vertical="center" wrapText="1"/>
    </xf>
    <xf numFmtId="0" fontId="30" fillId="36" borderId="84" xfId="0" applyFont="1" applyFill="1" applyBorder="1" applyAlignment="1">
      <alignment horizontal="center" vertical="center" wrapText="1"/>
    </xf>
    <xf numFmtId="0" fontId="30" fillId="36" borderId="83" xfId="0" applyFont="1" applyFill="1" applyBorder="1" applyAlignment="1">
      <alignment horizontal="center" vertical="center" wrapText="1"/>
    </xf>
    <xf numFmtId="0" fontId="57" fillId="49" borderId="5" xfId="0" applyFont="1" applyFill="1" applyBorder="1" applyAlignment="1">
      <alignment horizontal="center" vertical="center"/>
    </xf>
    <xf numFmtId="0" fontId="57" fillId="49" borderId="84" xfId="0" applyFont="1" applyFill="1" applyBorder="1" applyAlignment="1">
      <alignment horizontal="center" vertical="center"/>
    </xf>
    <xf numFmtId="0" fontId="57" fillId="49" borderId="6" xfId="0" applyFont="1" applyFill="1" applyBorder="1" applyAlignment="1">
      <alignment horizontal="center" vertical="center"/>
    </xf>
    <xf numFmtId="0" fontId="142" fillId="15" borderId="2" xfId="1" applyFont="1" applyFill="1" applyBorder="1" applyAlignment="1">
      <alignment horizontal="center" vertical="center" wrapText="1"/>
    </xf>
    <xf numFmtId="0" fontId="142" fillId="15" borderId="6" xfId="1" applyFont="1" applyFill="1" applyBorder="1" applyAlignment="1">
      <alignment horizontal="center" vertical="center" wrapText="1"/>
    </xf>
    <xf numFmtId="0" fontId="58" fillId="10" borderId="3" xfId="0" applyFont="1" applyFill="1" applyBorder="1" applyAlignment="1">
      <alignment horizontal="center" vertical="center" wrapText="1"/>
    </xf>
    <xf numFmtId="0" fontId="58" fillId="10" borderId="7" xfId="0" applyFont="1" applyFill="1" applyBorder="1" applyAlignment="1">
      <alignment horizontal="center" vertical="center" wrapText="1"/>
    </xf>
    <xf numFmtId="0" fontId="58" fillId="10" borderId="8" xfId="0" applyFont="1" applyFill="1" applyBorder="1" applyAlignment="1">
      <alignment horizontal="center" vertical="center" wrapText="1"/>
    </xf>
    <xf numFmtId="0" fontId="71" fillId="6" borderId="2" xfId="0" applyFont="1" applyFill="1" applyBorder="1" applyAlignment="1">
      <alignment horizontal="center" vertical="top" wrapText="1"/>
    </xf>
    <xf numFmtId="0" fontId="71" fillId="6" borderId="6" xfId="0" applyFont="1" applyFill="1" applyBorder="1" applyAlignment="1">
      <alignment horizontal="center" vertical="top" wrapText="1"/>
    </xf>
    <xf numFmtId="0" fontId="49" fillId="0" borderId="83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0" fontId="86" fillId="35" borderId="2" xfId="0" applyFont="1" applyFill="1" applyBorder="1" applyAlignment="1">
      <alignment horizontal="center" vertical="center" wrapText="1"/>
    </xf>
    <xf numFmtId="0" fontId="86" fillId="35" borderId="84" xfId="0" applyFont="1" applyFill="1" applyBorder="1" applyAlignment="1">
      <alignment horizontal="center" vertical="center" wrapText="1"/>
    </xf>
    <xf numFmtId="0" fontId="49" fillId="0" borderId="73" xfId="0" applyFont="1" applyFill="1" applyBorder="1" applyAlignment="1">
      <alignment horizontal="center" vertical="center" wrapText="1"/>
    </xf>
    <xf numFmtId="0" fontId="50" fillId="0" borderId="7" xfId="0" applyFont="1" applyBorder="1" applyAlignment="1">
      <alignment horizontal="left" vertical="top" wrapText="1"/>
    </xf>
    <xf numFmtId="0" fontId="50" fillId="0" borderId="8" xfId="0" applyFont="1" applyBorder="1" applyAlignment="1">
      <alignment horizontal="left" vertical="top" wrapText="1"/>
    </xf>
    <xf numFmtId="0" fontId="49" fillId="0" borderId="3" xfId="0" applyFont="1" applyFill="1" applyBorder="1" applyAlignment="1">
      <alignment horizontal="center" vertical="center" wrapText="1"/>
    </xf>
    <xf numFmtId="0" fontId="49" fillId="0" borderId="8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58" fillId="50" borderId="3" xfId="0" applyFont="1" applyFill="1" applyBorder="1" applyAlignment="1">
      <alignment horizontal="center" vertical="top" wrapText="1"/>
    </xf>
    <xf numFmtId="0" fontId="58" fillId="50" borderId="7" xfId="0" applyFont="1" applyFill="1" applyBorder="1" applyAlignment="1">
      <alignment horizontal="center" vertical="top" wrapText="1"/>
    </xf>
    <xf numFmtId="0" fontId="58" fillId="50" borderId="8" xfId="0" applyFont="1" applyFill="1" applyBorder="1" applyAlignment="1">
      <alignment horizontal="center" vertical="top" wrapText="1"/>
    </xf>
    <xf numFmtId="0" fontId="58" fillId="0" borderId="2" xfId="0" applyFont="1" applyFill="1" applyBorder="1" applyAlignment="1">
      <alignment horizontal="center" vertical="top" wrapText="1"/>
    </xf>
    <xf numFmtId="0" fontId="58" fillId="0" borderId="5" xfId="0" applyFont="1" applyFill="1" applyBorder="1" applyAlignment="1">
      <alignment horizontal="center" vertical="top" wrapText="1"/>
    </xf>
    <xf numFmtId="0" fontId="58" fillId="0" borderId="6" xfId="0" applyFont="1" applyFill="1" applyBorder="1" applyAlignment="1">
      <alignment horizontal="center" vertical="top" wrapText="1"/>
    </xf>
    <xf numFmtId="0" fontId="71" fillId="6" borderId="2" xfId="0" applyFont="1" applyFill="1" applyBorder="1" applyAlignment="1">
      <alignment horizontal="center" vertical="center" wrapText="1"/>
    </xf>
    <xf numFmtId="0" fontId="71" fillId="6" borderId="5" xfId="0" applyFont="1" applyFill="1" applyBorder="1" applyAlignment="1">
      <alignment horizontal="center" vertical="center" wrapText="1"/>
    </xf>
    <xf numFmtId="0" fontId="71" fillId="6" borderId="6" xfId="0" applyFont="1" applyFill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59" fillId="3" borderId="2" xfId="0" applyFont="1" applyFill="1" applyBorder="1" applyAlignment="1">
      <alignment horizontal="center" vertical="center" wrapText="1"/>
    </xf>
    <xf numFmtId="0" fontId="59" fillId="3" borderId="5" xfId="0" applyFont="1" applyFill="1" applyBorder="1" applyAlignment="1">
      <alignment horizontal="center" vertical="center"/>
    </xf>
    <xf numFmtId="0" fontId="59" fillId="3" borderId="6" xfId="0" applyFont="1" applyFill="1" applyBorder="1" applyAlignment="1">
      <alignment horizontal="center" vertical="center"/>
    </xf>
    <xf numFmtId="0" fontId="59" fillId="3" borderId="2" xfId="0" applyFont="1" applyFill="1" applyBorder="1" applyAlignment="1">
      <alignment horizontal="center" vertical="center"/>
    </xf>
    <xf numFmtId="0" fontId="59" fillId="3" borderId="2" xfId="0" applyFont="1" applyFill="1" applyBorder="1" applyAlignment="1">
      <alignment horizontal="center"/>
    </xf>
    <xf numFmtId="0" fontId="59" fillId="3" borderId="5" xfId="0" applyFont="1" applyFill="1" applyBorder="1" applyAlignment="1">
      <alignment horizontal="center"/>
    </xf>
    <xf numFmtId="0" fontId="59" fillId="3" borderId="6" xfId="0" applyFont="1" applyFill="1" applyBorder="1" applyAlignment="1">
      <alignment horizontal="center"/>
    </xf>
    <xf numFmtId="0" fontId="166" fillId="0" borderId="5" xfId="0" applyFont="1" applyBorder="1" applyAlignment="1">
      <alignment horizontal="left"/>
    </xf>
    <xf numFmtId="0" fontId="166" fillId="0" borderId="6" xfId="0" applyFont="1" applyBorder="1" applyAlignment="1">
      <alignment horizontal="left"/>
    </xf>
    <xf numFmtId="0" fontId="165" fillId="36" borderId="13" xfId="0" applyFont="1" applyFill="1" applyBorder="1" applyAlignment="1">
      <alignment horizontal="center" vertical="center"/>
    </xf>
    <xf numFmtId="0" fontId="165" fillId="36" borderId="14" xfId="0" applyFont="1" applyFill="1" applyBorder="1" applyAlignment="1">
      <alignment horizontal="center" vertical="center"/>
    </xf>
    <xf numFmtId="0" fontId="165" fillId="36" borderId="48" xfId="0" applyFont="1" applyFill="1" applyBorder="1" applyAlignment="1">
      <alignment horizontal="center" vertical="center"/>
    </xf>
    <xf numFmtId="0" fontId="165" fillId="36" borderId="3" xfId="0" applyFont="1" applyFill="1" applyBorder="1" applyAlignment="1">
      <alignment horizontal="center" vertical="center"/>
    </xf>
    <xf numFmtId="0" fontId="165" fillId="36" borderId="7" xfId="0" applyFont="1" applyFill="1" applyBorder="1" applyAlignment="1">
      <alignment horizontal="center" vertical="center"/>
    </xf>
    <xf numFmtId="0" fontId="165" fillId="36" borderId="55" xfId="0" applyFont="1" applyFill="1" applyBorder="1" applyAlignment="1">
      <alignment horizontal="center" vertical="center"/>
    </xf>
    <xf numFmtId="0" fontId="58" fillId="15" borderId="84" xfId="0" applyFont="1" applyFill="1" applyBorder="1" applyAlignment="1">
      <alignment horizontal="center" vertical="center" wrapText="1"/>
    </xf>
    <xf numFmtId="0" fontId="58" fillId="15" borderId="82" xfId="0" applyFont="1" applyFill="1" applyBorder="1" applyAlignment="1">
      <alignment horizontal="center" vertical="center" wrapText="1"/>
    </xf>
    <xf numFmtId="0" fontId="89" fillId="3" borderId="73" xfId="0" applyFont="1" applyFill="1" applyBorder="1" applyAlignment="1">
      <alignment horizontal="center" vertical="center" wrapText="1"/>
    </xf>
    <xf numFmtId="0" fontId="89" fillId="3" borderId="84" xfId="0" applyFont="1" applyFill="1" applyBorder="1" applyAlignment="1">
      <alignment horizontal="center" vertical="center" wrapText="1"/>
    </xf>
    <xf numFmtId="0" fontId="89" fillId="3" borderId="82" xfId="0" applyFont="1" applyFill="1" applyBorder="1" applyAlignment="1">
      <alignment horizontal="center" vertical="center" wrapText="1"/>
    </xf>
    <xf numFmtId="0" fontId="58" fillId="22" borderId="84" xfId="0" applyFont="1" applyFill="1" applyBorder="1" applyAlignment="1">
      <alignment horizontal="center" vertical="center" wrapText="1"/>
    </xf>
    <xf numFmtId="0" fontId="58" fillId="22" borderId="82" xfId="0" applyFont="1" applyFill="1" applyBorder="1" applyAlignment="1">
      <alignment horizontal="center" vertical="center" wrapText="1"/>
    </xf>
    <xf numFmtId="0" fontId="69" fillId="15" borderId="57" xfId="0" applyFont="1" applyFill="1" applyBorder="1" applyAlignment="1">
      <alignment horizontal="center" vertical="center" wrapText="1"/>
    </xf>
    <xf numFmtId="0" fontId="69" fillId="15" borderId="84" xfId="0" applyFont="1" applyFill="1" applyBorder="1" applyAlignment="1">
      <alignment horizontal="center" vertical="center" wrapText="1"/>
    </xf>
    <xf numFmtId="0" fontId="69" fillId="15" borderId="82" xfId="0" applyFont="1" applyFill="1" applyBorder="1" applyAlignment="1">
      <alignment horizontal="center" vertical="center" wrapText="1"/>
    </xf>
    <xf numFmtId="0" fontId="58" fillId="9" borderId="84" xfId="0" applyFont="1" applyFill="1" applyBorder="1" applyAlignment="1">
      <alignment horizontal="center" vertical="center" wrapText="1"/>
    </xf>
    <xf numFmtId="0" fontId="58" fillId="9" borderId="82" xfId="0" applyFont="1" applyFill="1" applyBorder="1" applyAlignment="1">
      <alignment horizontal="center" vertical="center" wrapText="1"/>
    </xf>
    <xf numFmtId="0" fontId="58" fillId="0" borderId="57" xfId="0" applyFont="1" applyFill="1" applyBorder="1" applyAlignment="1">
      <alignment horizontal="center" vertical="center"/>
    </xf>
    <xf numFmtId="0" fontId="58" fillId="0" borderId="84" xfId="0" applyFont="1" applyFill="1" applyBorder="1" applyAlignment="1">
      <alignment horizontal="center" vertical="center"/>
    </xf>
    <xf numFmtId="0" fontId="58" fillId="0" borderId="82" xfId="0" applyFont="1" applyFill="1" applyBorder="1" applyAlignment="1">
      <alignment horizontal="center" vertical="center"/>
    </xf>
    <xf numFmtId="0" fontId="58" fillId="0" borderId="57" xfId="0" applyFont="1" applyBorder="1" applyAlignment="1">
      <alignment horizontal="center" vertical="center" wrapText="1"/>
    </xf>
    <xf numFmtId="0" fontId="58" fillId="0" borderId="84" xfId="0" applyFont="1" applyBorder="1" applyAlignment="1">
      <alignment horizontal="center" vertical="center" wrapText="1"/>
    </xf>
    <xf numFmtId="0" fontId="58" fillId="15" borderId="2" xfId="0" applyFont="1" applyFill="1" applyBorder="1" applyAlignment="1">
      <alignment horizontal="left"/>
    </xf>
    <xf numFmtId="0" fontId="58" fillId="15" borderId="5" xfId="0" applyFont="1" applyFill="1" applyBorder="1" applyAlignment="1">
      <alignment horizontal="left"/>
    </xf>
    <xf numFmtId="0" fontId="58" fillId="15" borderId="6" xfId="0" applyFont="1" applyFill="1" applyBorder="1" applyAlignment="1">
      <alignment horizontal="left"/>
    </xf>
    <xf numFmtId="0" fontId="58" fillId="15" borderId="73" xfId="0" applyFont="1" applyFill="1" applyBorder="1" applyAlignment="1">
      <alignment horizontal="center" vertical="center" wrapText="1"/>
    </xf>
    <xf numFmtId="0" fontId="58" fillId="15" borderId="83" xfId="0" applyFont="1" applyFill="1" applyBorder="1" applyAlignment="1">
      <alignment horizontal="center" vertical="center" wrapText="1"/>
    </xf>
    <xf numFmtId="0" fontId="113" fillId="39" borderId="13" xfId="0" applyFont="1" applyFill="1" applyBorder="1" applyAlignment="1">
      <alignment horizontal="center" vertical="center" wrapText="1"/>
    </xf>
    <xf numFmtId="0" fontId="113" fillId="39" borderId="14" xfId="0" applyFont="1" applyFill="1" applyBorder="1" applyAlignment="1">
      <alignment horizontal="center" vertical="center" wrapText="1"/>
    </xf>
    <xf numFmtId="0" fontId="113" fillId="39" borderId="15" xfId="0" applyFont="1" applyFill="1" applyBorder="1" applyAlignment="1">
      <alignment horizontal="center" vertical="center" wrapText="1"/>
    </xf>
    <xf numFmtId="0" fontId="113" fillId="39" borderId="3" xfId="0" applyFont="1" applyFill="1" applyBorder="1" applyAlignment="1">
      <alignment horizontal="center" vertical="center" wrapText="1"/>
    </xf>
    <xf numFmtId="0" fontId="113" fillId="39" borderId="7" xfId="0" applyFont="1" applyFill="1" applyBorder="1" applyAlignment="1">
      <alignment horizontal="center" vertical="center" wrapText="1"/>
    </xf>
    <xf numFmtId="0" fontId="113" fillId="39" borderId="8" xfId="0" applyFont="1" applyFill="1" applyBorder="1" applyAlignment="1">
      <alignment horizontal="center" vertical="center" wrapText="1"/>
    </xf>
    <xf numFmtId="0" fontId="112" fillId="39" borderId="1" xfId="0" applyFont="1" applyFill="1" applyBorder="1" applyAlignment="1">
      <alignment horizontal="left"/>
    </xf>
    <xf numFmtId="0" fontId="71" fillId="0" borderId="2" xfId="0" applyFont="1" applyBorder="1" applyAlignment="1">
      <alignment horizontal="center" vertical="center" wrapText="1"/>
    </xf>
    <xf numFmtId="0" fontId="71" fillId="0" borderId="5" xfId="0" applyFont="1" applyBorder="1" applyAlignment="1">
      <alignment horizontal="center" vertical="center" wrapText="1"/>
    </xf>
    <xf numFmtId="0" fontId="71" fillId="0" borderId="26" xfId="0" applyFont="1" applyBorder="1" applyAlignment="1">
      <alignment horizontal="center" vertical="center" wrapText="1"/>
    </xf>
    <xf numFmtId="0" fontId="58" fillId="16" borderId="3" xfId="0" applyFont="1" applyFill="1" applyBorder="1" applyAlignment="1">
      <alignment horizontal="center" vertical="center" wrapText="1"/>
    </xf>
    <xf numFmtId="0" fontId="58" fillId="16" borderId="7" xfId="0" applyFont="1" applyFill="1" applyBorder="1" applyAlignment="1">
      <alignment horizontal="center" vertical="center" wrapText="1"/>
    </xf>
    <xf numFmtId="0" fontId="58" fillId="16" borderId="8" xfId="0" applyFont="1" applyFill="1" applyBorder="1" applyAlignment="1">
      <alignment horizontal="center" vertical="center" wrapText="1"/>
    </xf>
    <xf numFmtId="0" fontId="113" fillId="39" borderId="1" xfId="0" applyFont="1" applyFill="1" applyBorder="1" applyAlignment="1">
      <alignment horizontal="center" vertical="center" wrapText="1"/>
    </xf>
    <xf numFmtId="0" fontId="63" fillId="39" borderId="1" xfId="0" applyFont="1" applyFill="1" applyBorder="1" applyAlignment="1">
      <alignment horizontal="center" vertical="center" wrapText="1"/>
    </xf>
    <xf numFmtId="0" fontId="71" fillId="16" borderId="7" xfId="0" applyFont="1" applyFill="1" applyBorder="1" applyAlignment="1">
      <alignment horizontal="center" vertical="center" wrapText="1"/>
    </xf>
    <xf numFmtId="0" fontId="71" fillId="16" borderId="8" xfId="0" applyFont="1" applyFill="1" applyBorder="1" applyAlignment="1">
      <alignment horizontal="center" vertical="center" wrapText="1"/>
    </xf>
    <xf numFmtId="0" fontId="71" fillId="0" borderId="82" xfId="0" applyFont="1" applyBorder="1" applyAlignment="1">
      <alignment horizontal="center" vertical="center"/>
    </xf>
    <xf numFmtId="0" fontId="71" fillId="0" borderId="43" xfId="0" applyFont="1" applyBorder="1" applyAlignment="1">
      <alignment horizontal="center" vertical="center"/>
    </xf>
    <xf numFmtId="0" fontId="59" fillId="39" borderId="73" xfId="0" applyFont="1" applyFill="1" applyBorder="1" applyAlignment="1">
      <alignment horizontal="center"/>
    </xf>
    <xf numFmtId="0" fontId="59" fillId="39" borderId="83" xfId="0" applyFont="1" applyFill="1" applyBorder="1" applyAlignment="1">
      <alignment horizontal="center"/>
    </xf>
    <xf numFmtId="0" fontId="58" fillId="0" borderId="82" xfId="0" applyFont="1" applyBorder="1" applyAlignment="1">
      <alignment horizontal="center" vertical="center" wrapText="1"/>
    </xf>
    <xf numFmtId="0" fontId="59" fillId="39" borderId="84" xfId="0" applyFont="1" applyFill="1" applyBorder="1" applyAlignment="1">
      <alignment horizontal="center"/>
    </xf>
    <xf numFmtId="0" fontId="59" fillId="39" borderId="1" xfId="0" applyFont="1" applyFill="1" applyBorder="1" applyAlignment="1">
      <alignment horizontal="center" vertical="center" wrapText="1"/>
    </xf>
    <xf numFmtId="0" fontId="59" fillId="39" borderId="73" xfId="0" applyFont="1" applyFill="1" applyBorder="1" applyAlignment="1">
      <alignment horizontal="center" vertical="center" wrapText="1"/>
    </xf>
    <xf numFmtId="0" fontId="58" fillId="0" borderId="129" xfId="0" applyFont="1" applyBorder="1" applyAlignment="1">
      <alignment horizontal="center" vertical="center" wrapText="1"/>
    </xf>
    <xf numFmtId="0" fontId="58" fillId="0" borderId="125" xfId="0" applyFont="1" applyBorder="1" applyAlignment="1">
      <alignment horizontal="center" vertical="center" wrapText="1"/>
    </xf>
    <xf numFmtId="0" fontId="59" fillId="39" borderId="1" xfId="0" applyFont="1" applyFill="1" applyBorder="1" applyAlignment="1">
      <alignment horizontal="center"/>
    </xf>
    <xf numFmtId="0" fontId="63" fillId="0" borderId="2" xfId="0" applyFont="1" applyFill="1" applyBorder="1" applyAlignment="1">
      <alignment horizontal="center" vertical="center"/>
    </xf>
    <xf numFmtId="0" fontId="63" fillId="0" borderId="84" xfId="0" applyFont="1" applyFill="1" applyBorder="1" applyAlignment="1">
      <alignment horizontal="center" vertical="center"/>
    </xf>
    <xf numFmtId="0" fontId="63" fillId="0" borderId="83" xfId="0" applyFont="1" applyFill="1" applyBorder="1" applyAlignment="1">
      <alignment horizontal="center" vertical="center"/>
    </xf>
    <xf numFmtId="0" fontId="58" fillId="0" borderId="2" xfId="0" applyFont="1" applyBorder="1" applyAlignment="1">
      <alignment horizontal="center" vertical="center" wrapText="1"/>
    </xf>
    <xf numFmtId="0" fontId="58" fillId="0" borderId="83" xfId="0" applyFont="1" applyBorder="1" applyAlignment="1">
      <alignment horizontal="center" vertical="center" wrapText="1"/>
    </xf>
    <xf numFmtId="0" fontId="58" fillId="15" borderId="2" xfId="0" applyFont="1" applyFill="1" applyBorder="1" applyAlignment="1">
      <alignment horizontal="center" vertical="center" wrapText="1"/>
    </xf>
    <xf numFmtId="0" fontId="63" fillId="3" borderId="45" xfId="0" applyFont="1" applyFill="1" applyBorder="1" applyAlignment="1">
      <alignment horizontal="center" vertical="center" wrapText="1"/>
    </xf>
    <xf numFmtId="0" fontId="63" fillId="3" borderId="0" xfId="0" applyFont="1" applyFill="1" applyBorder="1" applyAlignment="1">
      <alignment horizontal="center" vertical="center" wrapText="1"/>
    </xf>
    <xf numFmtId="0" fontId="63" fillId="3" borderId="47" xfId="0" applyFont="1" applyFill="1" applyBorder="1" applyAlignment="1">
      <alignment horizontal="center" vertical="center" wrapText="1"/>
    </xf>
    <xf numFmtId="0" fontId="63" fillId="3" borderId="72" xfId="0" applyFont="1" applyFill="1" applyBorder="1" applyAlignment="1">
      <alignment horizontal="center" vertical="center" wrapText="1"/>
    </xf>
    <xf numFmtId="0" fontId="63" fillId="3" borderId="97" xfId="0" applyFont="1" applyFill="1" applyBorder="1" applyAlignment="1">
      <alignment horizontal="center" vertical="center" wrapText="1"/>
    </xf>
    <xf numFmtId="0" fontId="63" fillId="3" borderId="98" xfId="0" applyFont="1" applyFill="1" applyBorder="1" applyAlignment="1">
      <alignment horizontal="center" vertical="center" wrapText="1"/>
    </xf>
    <xf numFmtId="0" fontId="63" fillId="39" borderId="6" xfId="0" applyFont="1" applyFill="1" applyBorder="1" applyAlignment="1">
      <alignment horizontal="center"/>
    </xf>
    <xf numFmtId="0" fontId="63" fillId="39" borderId="1" xfId="0" applyFont="1" applyFill="1" applyBorder="1" applyAlignment="1">
      <alignment horizontal="center"/>
    </xf>
    <xf numFmtId="0" fontId="58" fillId="0" borderId="1" xfId="0" applyFont="1" applyFill="1" applyBorder="1" applyAlignment="1">
      <alignment horizontal="center" vertical="center" wrapText="1"/>
    </xf>
    <xf numFmtId="0" fontId="59" fillId="24" borderId="2" xfId="0" applyFont="1" applyFill="1" applyBorder="1" applyAlignment="1">
      <alignment horizontal="center" vertical="center" wrapText="1"/>
    </xf>
    <xf numFmtId="0" fontId="59" fillId="24" borderId="6" xfId="0" applyFont="1" applyFill="1" applyBorder="1" applyAlignment="1">
      <alignment horizontal="center" vertical="center" wrapText="1"/>
    </xf>
    <xf numFmtId="0" fontId="59" fillId="9" borderId="2" xfId="0" applyFont="1" applyFill="1" applyBorder="1" applyAlignment="1">
      <alignment horizontal="center" vertical="center" wrapText="1"/>
    </xf>
    <xf numFmtId="0" fontId="59" fillId="9" borderId="6" xfId="0" applyFont="1" applyFill="1" applyBorder="1" applyAlignment="1">
      <alignment horizontal="center" vertical="center" wrapText="1"/>
    </xf>
    <xf numFmtId="0" fontId="59" fillId="19" borderId="2" xfId="0" applyFont="1" applyFill="1" applyBorder="1" applyAlignment="1">
      <alignment horizontal="center" vertical="center" wrapText="1"/>
    </xf>
    <xf numFmtId="0" fontId="59" fillId="19" borderId="6" xfId="0" applyFont="1" applyFill="1" applyBorder="1" applyAlignment="1">
      <alignment horizontal="center" vertical="center" wrapText="1"/>
    </xf>
    <xf numFmtId="0" fontId="59" fillId="32" borderId="2" xfId="0" applyFont="1" applyFill="1" applyBorder="1" applyAlignment="1">
      <alignment horizontal="center" vertical="center" wrapText="1"/>
    </xf>
    <xf numFmtId="0" fontId="59" fillId="32" borderId="6" xfId="0" applyFont="1" applyFill="1" applyBorder="1" applyAlignment="1">
      <alignment horizontal="center" vertical="center" wrapText="1"/>
    </xf>
    <xf numFmtId="0" fontId="59" fillId="44" borderId="2" xfId="0" applyFont="1" applyFill="1" applyBorder="1" applyAlignment="1">
      <alignment horizontal="center" vertical="center" wrapText="1"/>
    </xf>
    <xf numFmtId="0" fontId="59" fillId="44" borderId="6" xfId="0" applyFont="1" applyFill="1" applyBorder="1" applyAlignment="1">
      <alignment horizontal="center" vertical="center" wrapText="1"/>
    </xf>
    <xf numFmtId="0" fontId="58" fillId="0" borderId="73" xfId="0" applyFont="1" applyBorder="1" applyAlignment="1">
      <alignment horizontal="center" vertical="center" wrapText="1"/>
    </xf>
    <xf numFmtId="0" fontId="66" fillId="4" borderId="0" xfId="0" applyFont="1" applyFill="1" applyAlignment="1">
      <alignment horizontal="center"/>
    </xf>
    <xf numFmtId="164" fontId="86" fillId="0" borderId="0" xfId="0" applyNumberFormat="1" applyFont="1" applyFill="1" applyAlignment="1">
      <alignment horizontal="center"/>
    </xf>
    <xf numFmtId="0" fontId="59" fillId="0" borderId="133" xfId="0" applyFont="1" applyBorder="1" applyAlignment="1">
      <alignment horizontal="center" vertical="center"/>
    </xf>
    <xf numFmtId="0" fontId="187" fillId="0" borderId="0" xfId="0" applyFont="1" applyAlignment="1">
      <alignment horizontal="center" vertical="center" wrapText="1"/>
    </xf>
    <xf numFmtId="0" fontId="187" fillId="0" borderId="0" xfId="0" applyFont="1" applyAlignment="1">
      <alignment horizontal="center" vertical="center"/>
    </xf>
    <xf numFmtId="0" fontId="71" fillId="0" borderId="0" xfId="0" applyFont="1" applyFill="1" applyBorder="1" applyAlignment="1">
      <alignment horizontal="center" vertical="top" wrapText="1"/>
    </xf>
    <xf numFmtId="0" fontId="58" fillId="10" borderId="72" xfId="0" applyFont="1" applyFill="1" applyBorder="1" applyAlignment="1">
      <alignment horizontal="center" vertical="center" wrapText="1"/>
    </xf>
    <xf numFmtId="0" fontId="58" fillId="10" borderId="55" xfId="0" applyFont="1" applyFill="1" applyBorder="1" applyAlignment="1">
      <alignment horizontal="center" vertical="center" wrapText="1"/>
    </xf>
    <xf numFmtId="0" fontId="117" fillId="0" borderId="72" xfId="0" applyFont="1" applyBorder="1" applyAlignment="1">
      <alignment horizontal="center" vertical="center" wrapText="1"/>
    </xf>
    <xf numFmtId="0" fontId="117" fillId="0" borderId="97" xfId="0" applyFont="1" applyBorder="1" applyAlignment="1">
      <alignment horizontal="center" vertical="center" wrapText="1"/>
    </xf>
    <xf numFmtId="0" fontId="117" fillId="0" borderId="98" xfId="0" applyFont="1" applyBorder="1" applyAlignment="1">
      <alignment horizontal="center" vertical="center" wrapText="1"/>
    </xf>
    <xf numFmtId="0" fontId="145" fillId="52" borderId="1" xfId="0" applyFont="1" applyFill="1" applyBorder="1" applyAlignment="1">
      <alignment horizontal="center" vertical="center" wrapText="1"/>
    </xf>
    <xf numFmtId="0" fontId="30" fillId="35" borderId="1" xfId="0" applyFont="1" applyFill="1" applyBorder="1" applyAlignment="1">
      <alignment horizontal="center" vertical="center"/>
    </xf>
    <xf numFmtId="0" fontId="49" fillId="0" borderId="72" xfId="0" applyFont="1" applyBorder="1" applyAlignment="1">
      <alignment horizontal="center" vertical="center" wrapText="1"/>
    </xf>
    <xf numFmtId="0" fontId="49" fillId="0" borderId="97" xfId="0" applyFont="1" applyBorder="1" applyAlignment="1">
      <alignment horizontal="center" vertical="center" wrapText="1"/>
    </xf>
    <xf numFmtId="0" fontId="49" fillId="0" borderId="98" xfId="0" applyFont="1" applyBorder="1" applyAlignment="1">
      <alignment horizontal="center" vertical="center" wrapText="1"/>
    </xf>
    <xf numFmtId="0" fontId="49" fillId="0" borderId="72" xfId="0" applyFont="1" applyFill="1" applyBorder="1" applyAlignment="1">
      <alignment horizontal="center" vertical="center" wrapText="1"/>
    </xf>
    <xf numFmtId="0" fontId="49" fillId="0" borderId="97" xfId="0" applyFont="1" applyFill="1" applyBorder="1" applyAlignment="1">
      <alignment horizontal="center" vertical="center" wrapText="1"/>
    </xf>
    <xf numFmtId="0" fontId="49" fillId="0" borderId="98" xfId="0" applyFont="1" applyFill="1" applyBorder="1" applyAlignment="1">
      <alignment horizontal="center" vertical="center" wrapText="1"/>
    </xf>
    <xf numFmtId="0" fontId="49" fillId="0" borderId="7" xfId="0" applyFont="1" applyFill="1" applyBorder="1" applyAlignment="1">
      <alignment horizontal="center" vertical="center" wrapText="1"/>
    </xf>
    <xf numFmtId="0" fontId="30" fillId="36" borderId="1" xfId="0" applyFont="1" applyFill="1" applyBorder="1" applyAlignment="1">
      <alignment horizontal="center" vertical="center"/>
    </xf>
    <xf numFmtId="0" fontId="117" fillId="0" borderId="2" xfId="0" applyFont="1" applyFill="1" applyBorder="1" applyAlignment="1">
      <alignment horizontal="center" vertical="center" wrapText="1"/>
    </xf>
    <xf numFmtId="0" fontId="117" fillId="0" borderId="5" xfId="0" applyFont="1" applyFill="1" applyBorder="1" applyAlignment="1">
      <alignment horizontal="center" vertical="center" wrapText="1"/>
    </xf>
    <xf numFmtId="0" fontId="117" fillId="0" borderId="6" xfId="0" applyFont="1" applyFill="1" applyBorder="1" applyAlignment="1">
      <alignment horizontal="center" vertical="center" wrapText="1"/>
    </xf>
    <xf numFmtId="0" fontId="117" fillId="0" borderId="84" xfId="0" applyFont="1" applyFill="1" applyBorder="1" applyAlignment="1">
      <alignment horizontal="center" vertical="center" wrapText="1"/>
    </xf>
    <xf numFmtId="0" fontId="117" fillId="0" borderId="83" xfId="0" applyFont="1" applyFill="1" applyBorder="1" applyAlignment="1">
      <alignment horizontal="center" vertical="center" wrapText="1"/>
    </xf>
    <xf numFmtId="0" fontId="30" fillId="56" borderId="1" xfId="0" applyFont="1" applyFill="1" applyBorder="1" applyAlignment="1">
      <alignment horizontal="center" vertical="center" wrapText="1"/>
    </xf>
    <xf numFmtId="0" fontId="117" fillId="0" borderId="3" xfId="0" applyFont="1" applyFill="1" applyBorder="1" applyAlignment="1">
      <alignment horizontal="center" vertical="center" wrapText="1"/>
    </xf>
    <xf numFmtId="0" fontId="117" fillId="0" borderId="7" xfId="0" applyFont="1" applyFill="1" applyBorder="1" applyAlignment="1">
      <alignment horizontal="center" vertical="center" wrapText="1"/>
    </xf>
    <xf numFmtId="0" fontId="117" fillId="0" borderId="8" xfId="0" applyFont="1" applyFill="1" applyBorder="1" applyAlignment="1">
      <alignment horizontal="center" vertical="center" wrapText="1"/>
    </xf>
    <xf numFmtId="0" fontId="117" fillId="0" borderId="9" xfId="0" applyFont="1" applyFill="1" applyBorder="1" applyAlignment="1">
      <alignment horizontal="center" vertical="center" wrapText="1"/>
    </xf>
    <xf numFmtId="0" fontId="50" fillId="0" borderId="1" xfId="0" applyFont="1" applyBorder="1" applyAlignment="1">
      <alignment horizontal="left" vertical="top" wrapText="1"/>
    </xf>
    <xf numFmtId="0" fontId="150" fillId="32" borderId="27" xfId="0" applyFont="1" applyFill="1" applyBorder="1" applyAlignment="1">
      <alignment horizontal="center" vertical="center"/>
    </xf>
    <xf numFmtId="0" fontId="150" fillId="32" borderId="43" xfId="0" applyFont="1" applyFill="1" applyBorder="1" applyAlignment="1">
      <alignment horizontal="center" vertical="center"/>
    </xf>
    <xf numFmtId="0" fontId="150" fillId="32" borderId="19" xfId="0" applyFont="1" applyFill="1" applyBorder="1" applyAlignment="1">
      <alignment horizontal="center" vertical="center"/>
    </xf>
    <xf numFmtId="0" fontId="117" fillId="52" borderId="27" xfId="0" applyFont="1" applyFill="1" applyBorder="1" applyAlignment="1">
      <alignment horizontal="center" vertical="center" wrapText="1"/>
    </xf>
    <xf numFmtId="0" fontId="117" fillId="52" borderId="43" xfId="0" applyFont="1" applyFill="1" applyBorder="1" applyAlignment="1">
      <alignment horizontal="center" vertical="center" wrapText="1"/>
    </xf>
    <xf numFmtId="0" fontId="117" fillId="52" borderId="19" xfId="0" applyFont="1" applyFill="1" applyBorder="1" applyAlignment="1">
      <alignment horizontal="center" vertical="center" wrapText="1"/>
    </xf>
    <xf numFmtId="0" fontId="117" fillId="0" borderId="3" xfId="0" applyFont="1" applyBorder="1" applyAlignment="1">
      <alignment horizontal="center" vertical="center" wrapText="1"/>
    </xf>
    <xf numFmtId="0" fontId="117" fillId="0" borderId="7" xfId="0" applyFont="1" applyBorder="1" applyAlignment="1">
      <alignment horizontal="center" vertical="center" wrapText="1"/>
    </xf>
    <xf numFmtId="0" fontId="117" fillId="0" borderId="8" xfId="0" applyFont="1" applyBorder="1" applyAlignment="1">
      <alignment horizontal="center" vertical="center" wrapText="1"/>
    </xf>
    <xf numFmtId="0" fontId="117" fillId="38" borderId="27" xfId="0" applyFont="1" applyFill="1" applyBorder="1" applyAlignment="1">
      <alignment horizontal="center" vertical="center" wrapText="1"/>
    </xf>
    <xf numFmtId="0" fontId="117" fillId="38" borderId="43" xfId="0" applyFont="1" applyFill="1" applyBorder="1" applyAlignment="1">
      <alignment horizontal="center" vertical="center" wrapText="1"/>
    </xf>
    <xf numFmtId="0" fontId="117" fillId="38" borderId="19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49" fillId="0" borderId="73" xfId="0" applyFont="1" applyBorder="1" applyAlignment="1">
      <alignment horizontal="center"/>
    </xf>
    <xf numFmtId="0" fontId="49" fillId="0" borderId="84" xfId="0" applyFont="1" applyBorder="1" applyAlignment="1">
      <alignment horizontal="center"/>
    </xf>
    <xf numFmtId="0" fontId="49" fillId="0" borderId="129" xfId="0" applyFont="1" applyBorder="1" applyAlignment="1">
      <alignment horizontal="center"/>
    </xf>
  </cellXfs>
  <cellStyles count="28">
    <cellStyle name="20% — акцент1" xfId="13" builtinId="30"/>
    <cellStyle name="20% — акцент1 2" xfId="15"/>
    <cellStyle name="Гиперссылка" xfId="1" builtinId="8"/>
    <cellStyle name="Гиперссылка 2" xfId="4"/>
    <cellStyle name="Гиперссылка 2 2" xfId="17"/>
    <cellStyle name="Гиперссылка 3" xfId="16"/>
    <cellStyle name="Обычный" xfId="0" builtinId="0"/>
    <cellStyle name="Обычный 2" xfId="2"/>
    <cellStyle name="Обычный 2 2" xfId="5"/>
    <cellStyle name="Обычный 2 2 2" xfId="19"/>
    <cellStyle name="Обычный 2 3" xfId="18"/>
    <cellStyle name="Обычный 3" xfId="3"/>
    <cellStyle name="Обычный 3 2" xfId="6"/>
    <cellStyle name="Обычный 3 2 2" xfId="21"/>
    <cellStyle name="Обычный 3 3" xfId="7"/>
    <cellStyle name="Обычный 3 3 2" xfId="22"/>
    <cellStyle name="Обычный 3 4" xfId="8"/>
    <cellStyle name="Обычный 3 4 2" xfId="23"/>
    <cellStyle name="Обычный 3 5" xfId="9"/>
    <cellStyle name="Обычный 3 5 2" xfId="24"/>
    <cellStyle name="Обычный 3 6" xfId="10"/>
    <cellStyle name="Обычный 3 6 2" xfId="25"/>
    <cellStyle name="Обычный 3 7" xfId="11"/>
    <cellStyle name="Обычный 3 7 2" xfId="26"/>
    <cellStyle name="Обычный 3 8" xfId="12"/>
    <cellStyle name="Обычный 3 8 2" xfId="27"/>
    <cellStyle name="Обычный 3 9" xfId="20"/>
    <cellStyle name="Обычный 4" xfId="14"/>
  </cellStyles>
  <dxfs count="265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b/>
        <i val="0"/>
        <color theme="1"/>
      </font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ont>
        <color theme="0" tint="-0.24994659260841701"/>
      </font>
      <fill>
        <patternFill>
          <bgColor theme="0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6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ill>
        <patternFill>
          <bgColor theme="6" tint="-0.24994659260841701"/>
        </patternFill>
      </fill>
    </dxf>
    <dxf>
      <font>
        <color theme="1"/>
      </font>
      <fill>
        <patternFill>
          <bgColor theme="6" tint="0.59996337778862885"/>
        </patternFill>
      </fill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rgb="FF0000FF"/>
      </font>
    </dxf>
    <dxf>
      <font>
        <color rgb="FFFF0000"/>
      </font>
    </dxf>
    <dxf>
      <font>
        <color theme="0" tint="-0.34998626667073579"/>
      </font>
    </dxf>
    <dxf>
      <font>
        <color theme="0" tint="-0.34998626667073579"/>
      </font>
    </dxf>
    <dxf>
      <font>
        <color rgb="FF0000FF"/>
      </font>
    </dxf>
    <dxf>
      <font>
        <color rgb="FFFF0000"/>
      </font>
    </dxf>
    <dxf>
      <fill>
        <patternFill>
          <bgColor theme="6" tint="0.39994506668294322"/>
        </patternFill>
      </fill>
    </dxf>
    <dxf>
      <font>
        <color theme="0" tint="-0.34998626667073579"/>
      </font>
      <fill>
        <patternFill patternType="none">
          <bgColor auto="1"/>
        </patternFill>
      </fill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0" tint="-0.499984740745262"/>
        </patternFill>
      </fill>
    </dxf>
    <dxf>
      <font>
        <color rgb="FFFF0000"/>
      </font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0000FF"/>
      </font>
      <fill>
        <patternFill>
          <bgColor theme="3" tint="0.79998168889431442"/>
        </patternFill>
      </fill>
    </dxf>
    <dxf>
      <font>
        <b/>
        <i val="0"/>
        <color rgb="FF0000FF"/>
      </font>
      <fill>
        <patternFill>
          <bgColor theme="3" tint="0.79998168889431442"/>
        </patternFill>
      </fill>
    </dxf>
    <dxf>
      <font>
        <b/>
        <i val="0"/>
        <color rgb="FF0000FF"/>
      </font>
      <fill>
        <patternFill>
          <bgColor theme="3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0000FF"/>
      </font>
      <fill>
        <patternFill>
          <bgColor theme="3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0000FF"/>
      </font>
      <fill>
        <patternFill>
          <bgColor theme="3" tint="0.79998168889431442"/>
        </patternFill>
      </fill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theme="1"/>
      </font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color theme="1" tint="0.34998626667073579"/>
      </font>
    </dxf>
    <dxf>
      <font>
        <color rgb="FFFF0000"/>
      </font>
    </dxf>
    <dxf>
      <font>
        <color rgb="FFFF0000"/>
      </font>
    </dxf>
    <dxf>
      <fill>
        <patternFill>
          <bgColor theme="1" tint="0.34998626667073579"/>
        </patternFill>
      </fill>
    </dxf>
    <dxf>
      <font>
        <b/>
        <i val="0"/>
        <color rgb="FF0000FF"/>
      </font>
      <fill>
        <patternFill>
          <bgColor theme="3" tint="0.79998168889431442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  <color theme="1"/>
      </font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b/>
        <i val="0"/>
        <color theme="1"/>
      </font>
      <fill>
        <patternFill patternType="none">
          <bgColor auto="1"/>
        </patternFill>
      </fill>
    </dxf>
    <dxf>
      <font>
        <color theme="1" tint="0.34998626667073579"/>
      </font>
    </dxf>
    <dxf>
      <font>
        <b/>
        <i val="0"/>
        <color rgb="FFFF0000"/>
      </font>
    </dxf>
    <dxf>
      <font>
        <color rgb="FFFF0000"/>
      </font>
    </dxf>
    <dxf>
      <font>
        <b/>
        <i val="0"/>
        <color rgb="FFFF0000"/>
      </font>
      <fill>
        <patternFill>
          <bgColor theme="5" tint="0.79998168889431442"/>
        </patternFill>
      </fill>
    </dxf>
    <dxf>
      <font>
        <b/>
        <i val="0"/>
        <color rgb="FF0000FF"/>
      </font>
      <fill>
        <patternFill>
          <bgColor theme="3" tint="0.79998168889431442"/>
        </patternFill>
      </fill>
    </dxf>
    <dxf>
      <fill>
        <patternFill>
          <bgColor theme="0" tint="-0.499984740745262"/>
        </patternFill>
      </fill>
    </dxf>
    <dxf>
      <fill>
        <patternFill>
          <bgColor theme="1" tint="0.34998626667073579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colors>
    <mruColors>
      <color rgb="FFEFB3E4"/>
      <color rgb="FF66FFFF"/>
      <color rgb="FFEDCAC9"/>
      <color rgb="FFA9C6E9"/>
      <color rgb="FF3A669C"/>
      <color rgb="FF366092"/>
      <color rgb="FF416998"/>
      <color rgb="FF4B719E"/>
      <color rgb="FF567AA4"/>
      <color rgb="FF6082A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tyutyunnikova/Desktop/&#1058;&#1102;&#1090;&#1102;&#1085;&#1085;&#1080;&#1082;&#1086;&#1074;&#1072;/&#1054;&#1094;&#1077;&#1085;&#1082;&#1072;%20&#1076;&#1077;&#1103;&#1090;&#1077;&#1083;&#1100;&#1085;&#1086;&#1089;&#1090;&#1080;%20&#1089;&#1090;&#1088;&#1091;&#1082;&#1090;&#1091;&#1088;&#1085;&#1099;&#1093;%20&#1087;&#1086;&#1076;&#1088;&#1072;&#1079;&#1076;&#1077;&#1083;&#1077;&#1085;&#1080;&#1081;/2%20&#1082;&#1074;&#1072;&#1088;&#1090;&#1072;&#1083;%202023&#1075;/&#1060;&#1086;&#1088;&#1084;&#1099;%20&#1076;&#1083;&#1103;%20&#1079;&#1072;&#1087;&#1086;&#1083;&#1085;&#1077;&#1085;&#1080;&#1103;/&#1060;&#1086;&#1088;&#1084;&#1099;%20&#1086;&#1094;&#1077;&#1085;&#1082;&#1072;%20&#1076;&#1077;&#1103;&#1090;&#1077;&#1083;&#1100;&#1085;&#1086;&#1089;&#1090;&#1080;%20&#1059;&#1087;&#1088;&#1072;&#1074;&#1083;&#1077;&#1085;&#1080;&#1081;/&#1060;&#1086;&#1088;&#1084;&#1072;19_&#1073;&#1083;&#1086;&#1082;%20&#1082;&#1072;&#1092;&#1077;&#1076;&#1088;%20&#1044;&#1055;&#1054;--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правление (+)"/>
      <sheetName val="Каф Кардиологии"/>
      <sheetName val="Каф Травматологии"/>
      <sheetName val="Отделы"/>
      <sheetName val="ТВП"/>
    </sheetNames>
    <sheetDataSet>
      <sheetData sheetId="0" refreshError="1"/>
      <sheetData sheetId="1" refreshError="1"/>
      <sheetData sheetId="2" refreshError="1"/>
      <sheetData sheetId="3">
        <row r="4">
          <cell r="C4" t="str">
            <v>Институт довузовского образования</v>
          </cell>
        </row>
        <row r="5">
          <cell r="C5" t="str">
            <v>Отдел приема на обучение</v>
          </cell>
        </row>
        <row r="6">
          <cell r="C6" t="str">
            <v>Приемная комиссия</v>
          </cell>
        </row>
        <row r="7">
          <cell r="C7" t="str">
            <v>Институт дополнительного профессионального образования</v>
          </cell>
        </row>
        <row r="8">
          <cell r="C8" t="str">
            <v>Кафедра кардиологии и сердечно-сосудистой хирургии с курсом ДПО</v>
          </cell>
        </row>
        <row r="9">
          <cell r="C9" t="str">
            <v>Кафедра травматологии, ортопедии и вертебрологии</v>
          </cell>
        </row>
        <row r="10">
          <cell r="C10" t="str">
            <v>Институт ординатуры</v>
          </cell>
        </row>
        <row r="11">
          <cell r="C11" t="str">
            <v>Поликлиника «Консультативно-диагностический центр»</v>
          </cell>
        </row>
        <row r="12">
          <cell r="C12" t="str">
            <v xml:space="preserve">Поликлиника «Стоматологическая поликлиника» </v>
          </cell>
        </row>
        <row r="13">
          <cell r="C13" t="str">
            <v>Проректор по научной работе и инновациям</v>
          </cell>
        </row>
        <row r="14">
          <cell r="C14" t="str">
            <v xml:space="preserve">Проректор по учебной работе </v>
          </cell>
        </row>
        <row r="15">
          <cell r="C15" t="str">
            <v>Проректор по лечебной работе и дополнительному профессиональному образованию</v>
          </cell>
        </row>
        <row r="16">
          <cell r="C16" t="str">
            <v>Проректор по развитию регионального здравоохранения</v>
          </cell>
        </row>
        <row r="17">
          <cell r="C17" t="str">
            <v>Проректор по международной деятельности</v>
          </cell>
        </row>
        <row r="18">
          <cell r="C18" t="str">
            <v>Проектный офис по развитию регионального здравоохранения</v>
          </cell>
        </row>
        <row r="19">
          <cell r="C19" t="str">
            <v>Центр аналитического и методического обеспечения здравоохранения Алтайского края</v>
          </cell>
        </row>
        <row r="20">
          <cell r="C20" t="str">
            <v>Центр развития бережливых технологий в здравоохранении ФГБОУ ВО АГМУ Минздрава России</v>
          </cell>
        </row>
        <row r="21">
          <cell r="C21" t="str">
            <v>Отдел по взаимодействию с практическим здравоохранением</v>
          </cell>
        </row>
        <row r="22">
          <cell r="C22" t="str">
            <v>Центр содействия трудоустройству выпускников</v>
          </cell>
        </row>
        <row r="23">
          <cell r="C23" t="str">
            <v>Планово-финансовое управление</v>
          </cell>
        </row>
        <row r="24">
          <cell r="C24" t="str">
            <v>Управление бухгалтерского учета, отчетности и контроля</v>
          </cell>
        </row>
        <row r="25">
          <cell r="C25" t="str">
            <v>Контрактное управление</v>
          </cell>
        </row>
        <row r="26">
          <cell r="C26" t="str">
            <v>Управление воспитательной, внеучебной и социальной работы</v>
          </cell>
        </row>
        <row r="27">
          <cell r="C27" t="str">
            <v>Управление информатизации</v>
          </cell>
        </row>
        <row r="28">
          <cell r="C28" t="str">
            <v>Управление кадров</v>
          </cell>
        </row>
        <row r="29">
          <cell r="C29" t="str">
            <v>Управление контроля качества образования</v>
          </cell>
        </row>
        <row r="30">
          <cell r="C30" t="str">
            <v>Научное управление</v>
          </cell>
        </row>
        <row r="31">
          <cell r="C31" t="str">
            <v>Алтайский инкубатор медицинской науки и инноваций</v>
          </cell>
        </row>
        <row r="32">
          <cell r="C32" t="str">
            <v>Исследовательский центр коллективного пользования</v>
          </cell>
        </row>
        <row r="33">
          <cell r="C33" t="str">
            <v>Морфологическая лаборатория (ИЦКП)</v>
          </cell>
        </row>
        <row r="34">
          <cell r="C34" t="str">
            <v>Лаборатория биохимических исследований (ИЦКП)</v>
          </cell>
        </row>
        <row r="35">
          <cell r="C35" t="str">
            <v>Центр клинических исследований</v>
          </cell>
        </row>
        <row r="36">
          <cell r="C36" t="str">
            <v>Научный кластер АГМУ</v>
          </cell>
        </row>
        <row r="37">
          <cell r="C37" t="str">
            <v>Клинический научный центр</v>
          </cell>
        </row>
        <row r="38">
          <cell r="C38" t="str">
            <v>Лаборатория гематологии (КНЦ)</v>
          </cell>
        </row>
        <row r="39">
          <cell r="C39" t="str">
            <v>Лаборатория пульмонологии и хирургии (КНЦ)</v>
          </cell>
        </row>
        <row r="40">
          <cell r="C40" t="str">
            <v>Институт гигиены труда и промышленной экологии</v>
          </cell>
        </row>
        <row r="41">
          <cell r="C41" t="str">
            <v>Лаборатория промышленной экологии, гигиенической оценки риска здоровью населения и медицины труда и Лаборатория гигиенического мониторинга условий труда</v>
          </cell>
        </row>
        <row r="42">
          <cell r="C42" t="str">
            <v>Лаборатория промышленной экологии, гигиенической оценки риска здоровью населения и медицины труда</v>
          </cell>
        </row>
        <row r="43">
          <cell r="C43" t="str">
            <v>Лаборатория гигиенического мониторинга условий труда</v>
          </cell>
        </row>
        <row r="44">
          <cell r="C44" t="str">
            <v>Орган инспекции АГМУ</v>
          </cell>
        </row>
        <row r="45">
          <cell r="C45" t="str">
            <v xml:space="preserve">Лаборатории Институтов </v>
          </cell>
        </row>
        <row r="46">
          <cell r="C46" t="str">
            <v>Лаборатория гемостаза (ИКМ)</v>
          </cell>
        </row>
        <row r="47">
          <cell r="C47" t="str">
            <v>Лаборатория проблем педиатрии (ИП)</v>
          </cell>
        </row>
        <row r="48">
          <cell r="C48" t="str">
            <v>Лаборатория стоматологии (ИС)</v>
          </cell>
        </row>
        <row r="49">
          <cell r="C49" t="str">
            <v>Лаборатория эпидемиологии и доказательной медицины (ИОЗиПМ)</v>
          </cell>
        </row>
        <row r="50">
          <cell r="C50" t="str">
            <v>Лаборатория проблем клинической психологии, психиатрии и наркологии (ИКП)</v>
          </cell>
        </row>
        <row r="51">
          <cell r="C51" t="str">
            <v>Лаборатория биомедицины (ИФ)</v>
          </cell>
        </row>
        <row r="52">
          <cell r="C52" t="str">
            <v>Лаборатория экспериментальной фармакологии и фармации (ИФ)</v>
          </cell>
        </row>
        <row r="53">
          <cell r="C53" t="str">
            <v xml:space="preserve">Управление организации и обеспечения деятельности </v>
          </cell>
        </row>
        <row r="54">
          <cell r="C54" t="str">
            <v>Редакционно-издательский отдел</v>
          </cell>
        </row>
        <row r="55">
          <cell r="C55" t="str">
            <v>Секретариат</v>
          </cell>
        </row>
        <row r="56">
          <cell r="C56" t="str">
            <v>Управление по административно-хозяйственной деятельности</v>
          </cell>
        </row>
        <row r="57">
          <cell r="C57" t="str">
            <v>Комендант. Учебный корпус № 1</v>
          </cell>
        </row>
        <row r="58">
          <cell r="C58" t="str">
            <v>Комендант. Учебный корпус № 2 Мрфокорпус</v>
          </cell>
        </row>
        <row r="59">
          <cell r="C59" t="str">
            <v>Комендант. Учебный корпус № 3</v>
          </cell>
        </row>
        <row r="60">
          <cell r="C60" t="str">
            <v>Комендант. Учебный корпус № 4</v>
          </cell>
        </row>
        <row r="61">
          <cell r="C61" t="str">
            <v xml:space="preserve">Комендант. Учебный корпус № 5 Паталогоанитомический </v>
          </cell>
        </row>
        <row r="62">
          <cell r="C62" t="str">
            <v>Комендант. Учебный корпус № 2А</v>
          </cell>
        </row>
        <row r="63">
          <cell r="C63" t="str">
            <v>Комендант. Учебный корпус № 5А</v>
          </cell>
        </row>
        <row r="64">
          <cell r="C64" t="str">
            <v>Комендант. Учебный корпус № 6А</v>
          </cell>
        </row>
        <row r="65">
          <cell r="C65" t="str">
            <v>Комендант. Лыжная база</v>
          </cell>
        </row>
        <row r="66">
          <cell r="C66" t="str">
            <v>Заведующая. Общежитие 1</v>
          </cell>
        </row>
        <row r="67">
          <cell r="C67" t="str">
            <v>Заведующая. Общежитие 2</v>
          </cell>
        </row>
        <row r="68">
          <cell r="C68" t="str">
            <v>Заведующая. Общежитие 3</v>
          </cell>
        </row>
        <row r="69">
          <cell r="C69" t="str">
            <v>Студенческий городок</v>
          </cell>
        </row>
        <row r="70">
          <cell r="C70" t="str">
            <v>Спортивно-оздоровительный комплекс</v>
          </cell>
        </row>
        <row r="71">
          <cell r="C71" t="str">
            <v xml:space="preserve">Управление по международной деятельности </v>
          </cell>
        </row>
        <row r="72">
          <cell r="C72" t="str">
            <v>Управление обеспечения безопасного функционирования</v>
          </cell>
        </row>
        <row r="73">
          <cell r="C73" t="str">
            <v>Отдел по работе с иностранными студентами</v>
          </cell>
        </row>
        <row r="74">
          <cell r="C74" t="str">
            <v>Управление по связям с общественностью и издательской деятельности</v>
          </cell>
        </row>
        <row r="75">
          <cell r="C75" t="str">
            <v>Учебно-методическое управление</v>
          </cell>
        </row>
        <row r="76">
          <cell r="C76" t="str">
            <v>Симуляционный центр</v>
          </cell>
        </row>
        <row r="77">
          <cell r="C77" t="str">
            <v>Библиотека</v>
          </cell>
        </row>
        <row r="78">
          <cell r="C78" t="str">
            <v>Управление правового обеспечения</v>
          </cell>
        </row>
        <row r="79">
          <cell r="C79" t="str">
            <v>Общий отдел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4.xml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5.xml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9" tint="-0.499984740745262"/>
  </sheetPr>
  <dimension ref="A1:P28"/>
  <sheetViews>
    <sheetView topLeftCell="A14" zoomScaleNormal="100" workbookViewId="0">
      <selection activeCell="H18" sqref="H18"/>
    </sheetView>
  </sheetViews>
  <sheetFormatPr defaultRowHeight="15" x14ac:dyDescent="0.25"/>
  <cols>
    <col min="1" max="1" width="43.28515625" customWidth="1"/>
    <col min="2" max="2" width="19" customWidth="1"/>
    <col min="3" max="3" width="15.5703125" customWidth="1"/>
    <col min="4" max="4" width="18.7109375" customWidth="1"/>
    <col min="5" max="5" width="16.5703125" customWidth="1"/>
    <col min="6" max="9" width="19.140625" customWidth="1"/>
    <col min="10" max="10" width="2" customWidth="1"/>
    <col min="11" max="13" width="15.85546875" customWidth="1"/>
    <col min="14" max="14" width="1.7109375" style="544" customWidth="1"/>
    <col min="16" max="16" width="2" style="544" customWidth="1"/>
    <col min="17" max="17" width="20.85546875" customWidth="1"/>
    <col min="18" max="23" width="19.140625" customWidth="1"/>
    <col min="24" max="24" width="2" customWidth="1"/>
    <col min="25" max="27" width="15.85546875" customWidth="1"/>
    <col min="28" max="28" width="9.140625" customWidth="1"/>
    <col min="29" max="31" width="18.28515625" customWidth="1"/>
    <col min="32" max="32" width="20.28515625" customWidth="1"/>
    <col min="33" max="35" width="18.28515625" customWidth="1"/>
  </cols>
  <sheetData>
    <row r="1" spans="1:16" ht="21" hidden="1" customHeight="1" x14ac:dyDescent="0.35">
      <c r="A1" s="14" t="s">
        <v>3</v>
      </c>
      <c r="B1" s="15"/>
      <c r="C1" s="16" t="s">
        <v>74</v>
      </c>
      <c r="D1" s="10"/>
      <c r="E1" s="11"/>
      <c r="F1" s="11"/>
      <c r="G1" s="11"/>
    </row>
    <row r="2" spans="1:16" ht="21" hidden="1" customHeight="1" x14ac:dyDescent="0.35">
      <c r="A2" s="14" t="s">
        <v>4</v>
      </c>
      <c r="B2" s="15"/>
      <c r="C2" s="16" t="s">
        <v>75</v>
      </c>
      <c r="D2" s="11"/>
      <c r="E2" s="11"/>
      <c r="F2" s="11"/>
      <c r="G2" s="11"/>
    </row>
    <row r="3" spans="1:16" ht="15" hidden="1" customHeight="1" x14ac:dyDescent="0.25">
      <c r="A3" s="15" t="s">
        <v>15</v>
      </c>
      <c r="B3" s="15"/>
      <c r="C3" s="17" t="s">
        <v>16</v>
      </c>
    </row>
    <row r="4" spans="1:16" ht="15" hidden="1" customHeight="1" x14ac:dyDescent="0.25">
      <c r="A4" s="15" t="s">
        <v>17</v>
      </c>
      <c r="B4" s="15"/>
      <c r="C4" s="17" t="s">
        <v>16</v>
      </c>
    </row>
    <row r="5" spans="1:16" ht="15" hidden="1" customHeight="1" x14ac:dyDescent="0.25">
      <c r="A5" s="15" t="s">
        <v>18</v>
      </c>
      <c r="B5" s="15"/>
      <c r="C5" s="17" t="s">
        <v>16</v>
      </c>
    </row>
    <row r="6" spans="1:16" ht="15" hidden="1" customHeight="1" x14ac:dyDescent="0.25">
      <c r="A6" s="15" t="s">
        <v>30</v>
      </c>
      <c r="B6" s="15"/>
      <c r="C6" s="17" t="s">
        <v>31</v>
      </c>
    </row>
    <row r="7" spans="1:16" ht="21" hidden="1" x14ac:dyDescent="0.35">
      <c r="A7" s="4" t="s">
        <v>233</v>
      </c>
      <c r="C7" s="8">
        <f>КАФЕДРА!$BS$19</f>
        <v>0</v>
      </c>
      <c r="D7" s="712"/>
    </row>
    <row r="8" spans="1:16" ht="21" hidden="1" x14ac:dyDescent="0.35">
      <c r="A8" s="4" t="s">
        <v>32</v>
      </c>
      <c r="C8" s="8">
        <f>КАФЕДРА!C8</f>
        <v>0</v>
      </c>
    </row>
    <row r="9" spans="1:16" ht="21" hidden="1" x14ac:dyDescent="0.35">
      <c r="A9" s="4" t="s">
        <v>224</v>
      </c>
      <c r="C9" s="8">
        <f>КАФЕДРА!$BR$19</f>
        <v>0</v>
      </c>
    </row>
    <row r="10" spans="1:16" hidden="1" x14ac:dyDescent="0.25"/>
    <row r="11" spans="1:16" ht="28.5" hidden="1" x14ac:dyDescent="0.45">
      <c r="A11" s="12" t="s">
        <v>319</v>
      </c>
      <c r="D11" s="6"/>
      <c r="F11" s="176"/>
      <c r="H11" s="5"/>
    </row>
    <row r="12" spans="1:16" ht="21" hidden="1" x14ac:dyDescent="0.35">
      <c r="A12" s="4" t="s">
        <v>207</v>
      </c>
      <c r="C12" s="13" t="s">
        <v>178</v>
      </c>
    </row>
    <row r="13" spans="1:16" hidden="1" x14ac:dyDescent="0.25"/>
    <row r="14" spans="1:16" s="7" customFormat="1" x14ac:dyDescent="0.25">
      <c r="N14" s="544"/>
      <c r="P14" s="544"/>
    </row>
    <row r="15" spans="1:16" ht="18.75" x14ac:dyDescent="0.3">
      <c r="A15" s="13" t="s">
        <v>178</v>
      </c>
    </row>
    <row r="16" spans="1:16" ht="18.75" x14ac:dyDescent="0.3">
      <c r="A16" s="13" t="s">
        <v>179</v>
      </c>
    </row>
    <row r="17" spans="1:5" ht="18.75" x14ac:dyDescent="0.3">
      <c r="A17" s="13" t="s">
        <v>214</v>
      </c>
    </row>
    <row r="22" spans="1:5" ht="21" x14ac:dyDescent="0.35">
      <c r="A22" s="243" t="s">
        <v>212</v>
      </c>
      <c r="B22" s="244">
        <v>2</v>
      </c>
      <c r="C22" s="245" t="s">
        <v>213</v>
      </c>
      <c r="D22" s="244">
        <v>2024</v>
      </c>
      <c r="E22" s="245" t="s">
        <v>257</v>
      </c>
    </row>
    <row r="25" spans="1:5" ht="15.75" x14ac:dyDescent="0.25">
      <c r="A25" s="496" t="s">
        <v>242</v>
      </c>
    </row>
    <row r="27" spans="1:5" ht="28.5" x14ac:dyDescent="0.45">
      <c r="A27" s="12" t="s">
        <v>317</v>
      </c>
    </row>
    <row r="28" spans="1:5" ht="31.5" x14ac:dyDescent="0.5">
      <c r="A28" s="495" t="s">
        <v>318</v>
      </c>
    </row>
  </sheetData>
  <dataValidations count="1">
    <dataValidation type="list" allowBlank="1" showInputMessage="1" showErrorMessage="1" sqref="C3:C6">
      <formula1>ДаНет</formula1>
    </dataValidation>
  </dataValidations>
  <hyperlinks>
    <hyperlink ref="A16" location="ФАКУЛЬТЕТ!R21C1" display="Продолжить вносить данные (ФАКУЛЬТЕТЫ)     →"/>
    <hyperlink ref="A17" location="'ФАКУЛЬТЕТ (КАФЕДРЫ+ДЕКАН)'!R1C1" display="Посмотреть итоги   →"/>
    <hyperlink ref="A15" location="КАФЕДРА!R21C1" display="Начать вносить данные (на общую страницу)"/>
    <hyperlink ref="C12" location="КАФЕДРА!R21C1" display="Начать вносить данные (на общую страницу)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tabColor rgb="FF92D050"/>
  </sheetPr>
  <dimension ref="A1:BT82"/>
  <sheetViews>
    <sheetView topLeftCell="A5" zoomScale="80" zoomScaleNormal="80" workbookViewId="0">
      <selection activeCell="R26" sqref="R26"/>
    </sheetView>
  </sheetViews>
  <sheetFormatPr defaultColWidth="9.140625" defaultRowHeight="14.25" x14ac:dyDescent="0.2"/>
  <cols>
    <col min="1" max="1" width="43.28515625" style="182" customWidth="1"/>
    <col min="2" max="2" width="15.85546875" style="182" customWidth="1"/>
    <col min="3" max="3" width="7.85546875" style="182" customWidth="1"/>
    <col min="4" max="4" width="9.85546875" style="182" hidden="1" customWidth="1"/>
    <col min="5" max="5" width="11.140625" style="182" hidden="1" customWidth="1"/>
    <col min="6" max="6" width="9.28515625" style="182" hidden="1" customWidth="1"/>
    <col min="7" max="7" width="10.28515625" style="182" customWidth="1"/>
    <col min="8" max="8" width="9.28515625" style="182" customWidth="1"/>
    <col min="9" max="9" width="8.7109375" style="182" customWidth="1"/>
    <col min="10" max="10" width="9" style="182" customWidth="1"/>
    <col min="11" max="11" width="9.28515625" style="182" customWidth="1"/>
    <col min="12" max="13" width="10" style="182" customWidth="1"/>
    <col min="14" max="14" width="10.5703125" style="182" bestFit="1" customWidth="1"/>
    <col min="15" max="15" width="10.5703125" style="182" customWidth="1"/>
    <col min="16" max="21" width="10" style="182" customWidth="1"/>
    <col min="22" max="22" width="10" style="1900" hidden="1" customWidth="1"/>
    <col min="23" max="23" width="10.85546875" style="182" hidden="1" customWidth="1"/>
    <col min="24" max="24" width="10.140625" style="182" hidden="1" customWidth="1"/>
    <col min="25" max="26" width="9.28515625" style="182" hidden="1" customWidth="1"/>
    <col min="27" max="27" width="9.5703125" style="182" hidden="1" customWidth="1"/>
    <col min="28" max="28" width="9.28515625" style="182" hidden="1" customWidth="1"/>
    <col min="29" max="30" width="11.140625" style="182" hidden="1" customWidth="1"/>
    <col min="31" max="31" width="8.140625" style="182" hidden="1" customWidth="1"/>
    <col min="32" max="33" width="9.28515625" style="182" hidden="1" customWidth="1"/>
    <col min="34" max="34" width="10" style="182" hidden="1" customWidth="1"/>
    <col min="35" max="35" width="9.7109375" style="182" hidden="1" customWidth="1"/>
    <col min="36" max="40" width="10.5703125" style="767" hidden="1" customWidth="1"/>
    <col min="41" max="16384" width="9.140625" style="182"/>
  </cols>
  <sheetData>
    <row r="1" spans="1:47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248"/>
      <c r="E1" s="248"/>
      <c r="F1" s="248"/>
      <c r="G1" s="182" t="s">
        <v>363</v>
      </c>
      <c r="H1" s="182" t="s">
        <v>157</v>
      </c>
      <c r="I1" s="182" t="s">
        <v>158</v>
      </c>
      <c r="J1" s="182" t="s">
        <v>159</v>
      </c>
      <c r="K1" s="182" t="s">
        <v>160</v>
      </c>
      <c r="L1" s="686" t="s">
        <v>361</v>
      </c>
      <c r="M1" s="686" t="s">
        <v>362</v>
      </c>
      <c r="N1" s="686" t="s">
        <v>215</v>
      </c>
      <c r="O1" s="686" t="s">
        <v>216</v>
      </c>
      <c r="P1" s="686" t="s">
        <v>217</v>
      </c>
      <c r="Q1" s="686" t="s">
        <v>218</v>
      </c>
      <c r="R1" s="686" t="s">
        <v>219</v>
      </c>
      <c r="S1" s="686" t="s">
        <v>220</v>
      </c>
      <c r="T1" s="686" t="s">
        <v>221</v>
      </c>
      <c r="U1" s="686" t="s">
        <v>222</v>
      </c>
      <c r="V1" s="686"/>
      <c r="W1" s="248"/>
      <c r="X1" s="248"/>
      <c r="Y1" s="248"/>
      <c r="Z1" s="248"/>
      <c r="AA1" s="248"/>
      <c r="AB1" s="248"/>
      <c r="AC1" s="248"/>
      <c r="AD1" s="248"/>
      <c r="AE1" s="181"/>
      <c r="AF1" s="181"/>
      <c r="AG1" s="181"/>
      <c r="AH1" s="181"/>
      <c r="AI1" s="181"/>
      <c r="AJ1" s="181"/>
      <c r="AK1" s="181"/>
      <c r="AL1" s="181"/>
      <c r="AM1" s="181"/>
      <c r="AN1" s="181"/>
    </row>
    <row r="2" spans="1:47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</row>
    <row r="3" spans="1:47" hidden="1" x14ac:dyDescent="0.2"/>
    <row r="4" spans="1:47" s="293" customFormat="1" ht="32.25" hidden="1" x14ac:dyDescent="0.4">
      <c r="C4" s="257"/>
      <c r="D4" s="257"/>
      <c r="E4" s="257"/>
      <c r="F4" s="257"/>
      <c r="G4" s="257"/>
      <c r="H4" s="257"/>
      <c r="I4" s="257"/>
      <c r="J4" s="257"/>
      <c r="K4" s="257"/>
      <c r="L4" s="555"/>
      <c r="W4" s="421" t="s">
        <v>144</v>
      </c>
      <c r="X4" s="421" t="s">
        <v>144</v>
      </c>
      <c r="Y4" s="421" t="s">
        <v>144</v>
      </c>
      <c r="Z4" s="421" t="s">
        <v>144</v>
      </c>
      <c r="AA4" s="421" t="s">
        <v>144</v>
      </c>
      <c r="AB4" s="421" t="s">
        <v>144</v>
      </c>
      <c r="AC4" s="421" t="s">
        <v>144</v>
      </c>
      <c r="AD4" s="421" t="s">
        <v>144</v>
      </c>
    </row>
    <row r="5" spans="1:47" ht="22.5" x14ac:dyDescent="0.3">
      <c r="A5" s="209" t="s">
        <v>153</v>
      </c>
      <c r="L5" s="183"/>
      <c r="AB5" s="372"/>
    </row>
    <row r="6" spans="1:47" ht="24.75" customHeight="1" x14ac:dyDescent="0.35">
      <c r="A6" s="183" t="s">
        <v>76</v>
      </c>
      <c r="G6" s="2309" t="s">
        <v>646</v>
      </c>
      <c r="H6" s="2310"/>
      <c r="I6" s="2310"/>
      <c r="J6" s="2310"/>
      <c r="K6" s="2311"/>
      <c r="L6" s="415" t="s">
        <v>299</v>
      </c>
    </row>
    <row r="7" spans="1:47" ht="18" x14ac:dyDescent="0.25">
      <c r="A7" s="477" t="s">
        <v>242</v>
      </c>
      <c r="G7" s="1708">
        <v>0</v>
      </c>
      <c r="H7" s="1708">
        <v>15</v>
      </c>
      <c r="I7" s="1708">
        <v>5</v>
      </c>
      <c r="J7" s="1708">
        <v>3</v>
      </c>
      <c r="K7" s="1708">
        <v>5</v>
      </c>
      <c r="L7" s="185" t="s">
        <v>265</v>
      </c>
    </row>
    <row r="8" spans="1:47" ht="18" customHeight="1" x14ac:dyDescent="0.25">
      <c r="A8" s="444">
        <f ca="1">NOW()</f>
        <v>45929.466219097223</v>
      </c>
      <c r="G8" s="2315" t="s">
        <v>645</v>
      </c>
      <c r="H8" s="2316"/>
      <c r="I8" s="2316"/>
      <c r="J8" s="2316"/>
      <c r="K8" s="2317"/>
      <c r="L8" s="2321"/>
      <c r="M8" s="2322"/>
      <c r="N8" s="2322"/>
      <c r="O8" s="2322"/>
      <c r="P8" s="2322"/>
      <c r="Q8" s="2322"/>
      <c r="R8" s="2322"/>
      <c r="S8" s="2322"/>
      <c r="T8" s="2322"/>
      <c r="U8" s="2322"/>
      <c r="V8" s="1940"/>
      <c r="AA8" s="185" t="s">
        <v>64</v>
      </c>
      <c r="AH8" s="182" t="s">
        <v>509</v>
      </c>
    </row>
    <row r="9" spans="1:47" ht="61.5" customHeight="1" x14ac:dyDescent="0.2">
      <c r="A9" s="387" t="str">
        <f>ТИТУЛ!$B$22&amp;" квартал "&amp;ТИТУЛ!$D$22&amp;" года"</f>
        <v>2 квартал 2024 года</v>
      </c>
      <c r="D9" s="767"/>
      <c r="E9" s="767"/>
      <c r="F9" s="767"/>
      <c r="G9" s="2318"/>
      <c r="H9" s="2319"/>
      <c r="I9" s="2319"/>
      <c r="J9" s="2319"/>
      <c r="K9" s="2320"/>
      <c r="L9" s="2332" t="s">
        <v>360</v>
      </c>
      <c r="M9" s="2333"/>
      <c r="N9" s="2330" t="s">
        <v>472</v>
      </c>
      <c r="O9" s="2331"/>
      <c r="P9" s="2328" t="s">
        <v>474</v>
      </c>
      <c r="Q9" s="2329"/>
      <c r="R9" s="2326" t="s">
        <v>473</v>
      </c>
      <c r="S9" s="2327"/>
      <c r="T9" s="2324" t="s">
        <v>475</v>
      </c>
      <c r="U9" s="2325"/>
      <c r="V9" s="2334" t="s">
        <v>696</v>
      </c>
      <c r="W9" s="2275"/>
      <c r="X9" s="2275"/>
      <c r="Y9" s="2275"/>
      <c r="Z9" s="2306"/>
      <c r="AA9" s="2312" t="s">
        <v>697</v>
      </c>
      <c r="AB9" s="2275"/>
      <c r="AC9" s="2275"/>
      <c r="AD9" s="2313"/>
      <c r="AE9" s="2323" t="s">
        <v>538</v>
      </c>
      <c r="AF9" s="2323"/>
      <c r="AG9" s="2323"/>
      <c r="AH9" s="2323"/>
      <c r="AI9" s="2323"/>
      <c r="AJ9" s="2314"/>
      <c r="AK9" s="2259"/>
      <c r="AL9" s="2259"/>
      <c r="AM9" s="2259"/>
      <c r="AN9" s="2280"/>
      <c r="AP9" s="372"/>
      <c r="AQ9" s="372"/>
      <c r="AR9" s="372"/>
      <c r="AS9" s="372"/>
      <c r="AT9" s="372"/>
      <c r="AU9" s="372"/>
    </row>
    <row r="10" spans="1:47" ht="13.5" hidden="1" customHeight="1" x14ac:dyDescent="0.2">
      <c r="A10" s="213"/>
      <c r="B10" s="188"/>
      <c r="C10" s="188"/>
      <c r="D10" s="188"/>
      <c r="E10" s="188"/>
      <c r="F10" s="188"/>
      <c r="G10" s="472"/>
      <c r="H10" s="472"/>
      <c r="I10" s="472"/>
      <c r="J10" s="472"/>
      <c r="K10" s="472"/>
      <c r="L10" s="188"/>
      <c r="M10" s="188"/>
      <c r="N10" s="188"/>
      <c r="O10" s="188"/>
      <c r="P10" s="188"/>
      <c r="Q10" s="188"/>
      <c r="R10" s="188"/>
      <c r="S10" s="188"/>
      <c r="T10" s="188"/>
      <c r="U10" s="188"/>
      <c r="V10" s="188"/>
      <c r="W10" s="188"/>
      <c r="X10" s="188"/>
      <c r="Y10" s="188"/>
      <c r="Z10" s="188"/>
      <c r="AA10" s="188">
        <f>IF(ТИТУЛ!$B$22=2,'НУ(Публикации)'!H7/2,'НУ(Публикации)'!H7)</f>
        <v>7.5</v>
      </c>
      <c r="AB10" s="188">
        <f>IF(ТИТУЛ!$B$22=2,'НУ(Публикации)'!I7/2,'НУ(Публикации)'!I7)</f>
        <v>2.5</v>
      </c>
      <c r="AC10" s="188">
        <f>IF(ТИТУЛ!$B$22=2,'НУ(Публикации)'!J7/2,'НУ(Публикации)'!J7)</f>
        <v>1.5</v>
      </c>
      <c r="AD10" s="188">
        <f>IF(ТИТУЛ!$B$22=2,'НУ(Публикации)'!K7/2,'НУ(Публикации)'!K7)</f>
        <v>2.5</v>
      </c>
      <c r="AE10" s="1900"/>
      <c r="AF10" s="1900"/>
      <c r="AP10" s="372"/>
      <c r="AQ10" s="372"/>
      <c r="AR10" s="372"/>
      <c r="AS10" s="372"/>
      <c r="AT10" s="372"/>
      <c r="AU10" s="372"/>
    </row>
    <row r="11" spans="1:47" ht="13.5" hidden="1" customHeight="1" x14ac:dyDescent="0.2">
      <c r="A11" s="213" t="s">
        <v>649</v>
      </c>
      <c r="B11" s="188"/>
      <c r="C11" s="188"/>
      <c r="D11" s="188"/>
      <c r="E11" s="188"/>
      <c r="F11" s="188"/>
      <c r="G11" s="188">
        <v>2</v>
      </c>
      <c r="H11" s="188">
        <v>2</v>
      </c>
      <c r="I11" s="188">
        <v>3</v>
      </c>
      <c r="J11" s="188">
        <v>4</v>
      </c>
      <c r="K11" s="188">
        <v>3</v>
      </c>
      <c r="L11" s="188">
        <v>2</v>
      </c>
      <c r="M11" s="188">
        <v>2</v>
      </c>
      <c r="N11" s="188">
        <v>2</v>
      </c>
      <c r="O11" s="188">
        <v>2</v>
      </c>
      <c r="P11" s="188">
        <v>3</v>
      </c>
      <c r="Q11" s="188">
        <v>3</v>
      </c>
      <c r="R11" s="188">
        <v>4</v>
      </c>
      <c r="S11" s="188">
        <v>4</v>
      </c>
      <c r="T11" s="188">
        <v>3</v>
      </c>
      <c r="U11" s="188">
        <v>3</v>
      </c>
      <c r="V11" s="188">
        <v>2</v>
      </c>
      <c r="W11" s="188">
        <v>2</v>
      </c>
      <c r="X11" s="188">
        <v>3</v>
      </c>
      <c r="Y11" s="188">
        <v>4</v>
      </c>
      <c r="Z11" s="188">
        <v>3</v>
      </c>
      <c r="AA11" s="188">
        <v>2</v>
      </c>
      <c r="AB11" s="188">
        <v>3</v>
      </c>
      <c r="AC11" s="188">
        <v>4</v>
      </c>
      <c r="AD11" s="188">
        <v>3</v>
      </c>
      <c r="AP11" s="372"/>
      <c r="AQ11" s="372"/>
      <c r="AR11" s="372"/>
      <c r="AS11" s="372"/>
      <c r="AT11" s="372"/>
      <c r="AU11" s="372"/>
    </row>
    <row r="12" spans="1:47" ht="15.75" hidden="1" customHeight="1" x14ac:dyDescent="0.2">
      <c r="A12" s="189"/>
      <c r="B12" s="189"/>
      <c r="C12" s="189"/>
      <c r="D12" s="189"/>
      <c r="E12" s="189"/>
      <c r="F12" s="190"/>
      <c r="G12" s="189" t="s">
        <v>363</v>
      </c>
      <c r="H12" s="189" t="s">
        <v>157</v>
      </c>
      <c r="I12" s="189" t="s">
        <v>158</v>
      </c>
      <c r="J12" s="189" t="s">
        <v>159</v>
      </c>
      <c r="K12" s="189" t="s">
        <v>160</v>
      </c>
      <c r="L12" s="685" t="s">
        <v>363</v>
      </c>
      <c r="M12" s="685" t="s">
        <v>363</v>
      </c>
      <c r="N12" s="685" t="s">
        <v>647</v>
      </c>
      <c r="O12" s="685" t="s">
        <v>647</v>
      </c>
      <c r="P12" s="685" t="s">
        <v>158</v>
      </c>
      <c r="Q12" s="685" t="s">
        <v>158</v>
      </c>
      <c r="R12" s="685" t="s">
        <v>159</v>
      </c>
      <c r="S12" s="685" t="s">
        <v>159</v>
      </c>
      <c r="T12" s="685" t="s">
        <v>160</v>
      </c>
      <c r="U12" s="685" t="s">
        <v>160</v>
      </c>
      <c r="V12" s="685" t="s">
        <v>363</v>
      </c>
      <c r="W12" s="685" t="s">
        <v>647</v>
      </c>
      <c r="X12" s="685" t="s">
        <v>158</v>
      </c>
      <c r="Y12" s="685" t="s">
        <v>159</v>
      </c>
      <c r="Z12" s="1726" t="s">
        <v>160</v>
      </c>
      <c r="AA12" s="685" t="s">
        <v>647</v>
      </c>
      <c r="AB12" s="685" t="s">
        <v>158</v>
      </c>
      <c r="AC12" s="685" t="s">
        <v>159</v>
      </c>
      <c r="AD12" s="1726" t="s">
        <v>160</v>
      </c>
      <c r="AE12" s="685"/>
      <c r="AF12" s="685"/>
      <c r="AG12" s="685"/>
      <c r="AH12" s="685"/>
      <c r="AI12" s="1726"/>
      <c r="AJ12" s="685"/>
      <c r="AK12" s="685"/>
      <c r="AL12" s="685"/>
      <c r="AM12" s="685"/>
      <c r="AN12" s="1726"/>
      <c r="AP12" s="372"/>
      <c r="AQ12" s="372"/>
      <c r="AR12" s="372"/>
      <c r="AS12" s="372"/>
      <c r="AT12" s="372"/>
      <c r="AU12" s="372"/>
    </row>
    <row r="13" spans="1:47" ht="144.75" customHeight="1" x14ac:dyDescent="0.2">
      <c r="A13" s="191" t="str">
        <f>КАФЕДРА!A10</f>
        <v>Наименование кафедры</v>
      </c>
      <c r="B13" s="432" t="s">
        <v>327</v>
      </c>
      <c r="C13" s="192" t="s">
        <v>320</v>
      </c>
      <c r="D13" s="193" t="s">
        <v>79</v>
      </c>
      <c r="E13" s="208" t="s">
        <v>698</v>
      </c>
      <c r="F13" s="702" t="s">
        <v>58</v>
      </c>
      <c r="G13" s="703" t="s">
        <v>360</v>
      </c>
      <c r="H13" s="478" t="s">
        <v>386</v>
      </c>
      <c r="I13" s="700" t="s">
        <v>387</v>
      </c>
      <c r="J13" s="701" t="s">
        <v>155</v>
      </c>
      <c r="K13" s="1716" t="s">
        <v>156</v>
      </c>
      <c r="L13" s="2058" t="s">
        <v>470</v>
      </c>
      <c r="M13" s="2059" t="s">
        <v>471</v>
      </c>
      <c r="N13" s="2027" t="s">
        <v>470</v>
      </c>
      <c r="O13" s="2060" t="s">
        <v>471</v>
      </c>
      <c r="P13" s="2061" t="s">
        <v>470</v>
      </c>
      <c r="Q13" s="2059" t="s">
        <v>471</v>
      </c>
      <c r="R13" s="2062" t="s">
        <v>470</v>
      </c>
      <c r="S13" s="2059" t="s">
        <v>471</v>
      </c>
      <c r="T13" s="2063" t="s">
        <v>470</v>
      </c>
      <c r="U13" s="2059" t="s">
        <v>471</v>
      </c>
      <c r="V13" s="2064" t="s">
        <v>360</v>
      </c>
      <c r="W13" s="1724" t="s">
        <v>648</v>
      </c>
      <c r="X13" s="192" t="s">
        <v>154</v>
      </c>
      <c r="Y13" s="192" t="s">
        <v>155</v>
      </c>
      <c r="Z13" s="1727" t="s">
        <v>156</v>
      </c>
      <c r="AA13" s="1724" t="s">
        <v>648</v>
      </c>
      <c r="AB13" s="192" t="s">
        <v>154</v>
      </c>
      <c r="AC13" s="192" t="s">
        <v>155</v>
      </c>
      <c r="AD13" s="1953" t="s">
        <v>156</v>
      </c>
      <c r="AE13" s="1950" t="s">
        <v>360</v>
      </c>
      <c r="AF13" s="1724" t="s">
        <v>648</v>
      </c>
      <c r="AG13" s="192" t="s">
        <v>154</v>
      </c>
      <c r="AH13" s="192" t="s">
        <v>155</v>
      </c>
      <c r="AI13" s="1727" t="s">
        <v>156</v>
      </c>
      <c r="AJ13" s="705"/>
      <c r="AK13" s="192"/>
      <c r="AL13" s="192"/>
      <c r="AM13" s="192"/>
      <c r="AN13" s="192"/>
      <c r="AP13" s="965"/>
      <c r="AQ13" s="965"/>
      <c r="AR13" s="965"/>
      <c r="AS13" s="965"/>
      <c r="AT13" s="965"/>
      <c r="AU13" s="372"/>
    </row>
    <row r="14" spans="1:47" hidden="1" x14ac:dyDescent="0.2">
      <c r="A14" s="195"/>
      <c r="B14" s="195"/>
      <c r="C14" s="195"/>
      <c r="D14" s="196"/>
      <c r="E14" s="195"/>
      <c r="F14" s="195"/>
      <c r="G14" s="195"/>
      <c r="H14" s="195"/>
      <c r="I14" s="195"/>
      <c r="J14" s="195"/>
      <c r="K14" s="768"/>
      <c r="L14" s="195"/>
      <c r="M14" s="768"/>
      <c r="N14" s="195"/>
      <c r="O14" s="195"/>
      <c r="P14" s="195"/>
      <c r="Q14" s="195"/>
      <c r="R14" s="195"/>
      <c r="S14" s="768"/>
      <c r="T14" s="195"/>
      <c r="U14" s="768"/>
      <c r="V14" s="195"/>
      <c r="W14" s="195"/>
      <c r="X14" s="195"/>
      <c r="Y14" s="195"/>
      <c r="Z14" s="768"/>
      <c r="AD14" s="1134"/>
      <c r="AP14" s="372"/>
      <c r="AQ14" s="372"/>
      <c r="AR14" s="372"/>
      <c r="AS14" s="372"/>
      <c r="AT14" s="372"/>
      <c r="AU14" s="372"/>
    </row>
    <row r="15" spans="1:47" hidden="1" x14ac:dyDescent="0.2">
      <c r="A15" s="195"/>
      <c r="B15" s="195"/>
      <c r="C15" s="195"/>
      <c r="D15" s="196"/>
      <c r="E15" s="195"/>
      <c r="F15" s="195"/>
      <c r="G15" s="195"/>
      <c r="H15" s="195"/>
      <c r="I15" s="195"/>
      <c r="J15" s="195"/>
      <c r="K15" s="768"/>
      <c r="L15" s="195"/>
      <c r="M15" s="768"/>
      <c r="N15" s="195"/>
      <c r="O15" s="195"/>
      <c r="P15" s="195"/>
      <c r="Q15" s="195"/>
      <c r="R15" s="195"/>
      <c r="S15" s="768"/>
      <c r="T15" s="195"/>
      <c r="U15" s="768"/>
      <c r="V15" s="195"/>
      <c r="W15" s="195"/>
      <c r="X15" s="195"/>
      <c r="Y15" s="195"/>
      <c r="Z15" s="768"/>
      <c r="AD15" s="1134"/>
      <c r="AP15" s="372"/>
      <c r="AQ15" s="372"/>
      <c r="AR15" s="372"/>
      <c r="AS15" s="372"/>
      <c r="AT15" s="372"/>
      <c r="AU15" s="372"/>
    </row>
    <row r="16" spans="1:47" hidden="1" x14ac:dyDescent="0.2">
      <c r="A16" s="195"/>
      <c r="B16" s="195"/>
      <c r="C16" s="195"/>
      <c r="D16" s="196"/>
      <c r="E16" s="195"/>
      <c r="F16" s="195"/>
      <c r="G16" s="195"/>
      <c r="H16" s="195"/>
      <c r="I16" s="195"/>
      <c r="J16" s="195"/>
      <c r="K16" s="768"/>
      <c r="L16" s="195"/>
      <c r="M16" s="768"/>
      <c r="N16" s="195"/>
      <c r="O16" s="195"/>
      <c r="P16" s="195"/>
      <c r="Q16" s="195"/>
      <c r="R16" s="195"/>
      <c r="S16" s="768"/>
      <c r="T16" s="195"/>
      <c r="U16" s="768"/>
      <c r="V16" s="195"/>
      <c r="W16" s="195"/>
      <c r="X16" s="195"/>
      <c r="Y16" s="195"/>
      <c r="Z16" s="768"/>
      <c r="AD16" s="1134"/>
      <c r="AP16" s="372"/>
      <c r="AQ16" s="372"/>
      <c r="AR16" s="372"/>
      <c r="AS16" s="372"/>
      <c r="AT16" s="372"/>
      <c r="AU16" s="372"/>
    </row>
    <row r="17" spans="1:72" hidden="1" x14ac:dyDescent="0.2">
      <c r="A17" s="195"/>
      <c r="B17" s="195"/>
      <c r="C17" s="195"/>
      <c r="D17" s="196"/>
      <c r="E17" s="195"/>
      <c r="F17" s="195"/>
      <c r="G17" s="195"/>
      <c r="H17" s="195"/>
      <c r="I17" s="195"/>
      <c r="J17" s="195"/>
      <c r="K17" s="768"/>
      <c r="L17" s="195"/>
      <c r="M17" s="768"/>
      <c r="N17" s="195"/>
      <c r="O17" s="195"/>
      <c r="P17" s="195"/>
      <c r="Q17" s="195"/>
      <c r="R17" s="195"/>
      <c r="S17" s="768"/>
      <c r="T17" s="195"/>
      <c r="U17" s="768"/>
      <c r="V17" s="195"/>
      <c r="W17" s="195"/>
      <c r="X17" s="195"/>
      <c r="Y17" s="195"/>
      <c r="Z17" s="768"/>
      <c r="AD17" s="1134"/>
      <c r="AP17" s="372"/>
      <c r="AQ17" s="372"/>
      <c r="AR17" s="372"/>
      <c r="AS17" s="372"/>
      <c r="AT17" s="372"/>
      <c r="AU17" s="372"/>
    </row>
    <row r="18" spans="1:72" ht="6.75" customHeight="1" x14ac:dyDescent="0.2">
      <c r="A18" s="197"/>
      <c r="B18" s="197"/>
      <c r="C18" s="197"/>
      <c r="D18" s="198"/>
      <c r="E18" s="197"/>
      <c r="F18" s="199"/>
      <c r="G18" s="199"/>
      <c r="H18" s="199"/>
      <c r="I18" s="199"/>
      <c r="J18" s="199"/>
      <c r="K18" s="1283"/>
      <c r="L18" s="197"/>
      <c r="M18" s="769"/>
      <c r="N18" s="197"/>
      <c r="O18" s="197"/>
      <c r="P18" s="197"/>
      <c r="Q18" s="197"/>
      <c r="R18" s="197"/>
      <c r="S18" s="769"/>
      <c r="T18" s="197"/>
      <c r="U18" s="769"/>
      <c r="V18" s="197"/>
      <c r="W18" s="199"/>
      <c r="X18" s="199"/>
      <c r="Y18" s="199"/>
      <c r="Z18" s="1283"/>
      <c r="AA18" s="199"/>
      <c r="AB18" s="199"/>
      <c r="AC18" s="199"/>
      <c r="AD18" s="1283"/>
      <c r="AE18" s="199"/>
      <c r="AF18" s="199"/>
      <c r="AG18" s="199"/>
      <c r="AH18" s="199"/>
      <c r="AI18" s="199"/>
      <c r="AJ18" s="199"/>
      <c r="AK18" s="199"/>
      <c r="AL18" s="199"/>
      <c r="AM18" s="199"/>
      <c r="AN18" s="199"/>
      <c r="AP18" s="372"/>
      <c r="AQ18" s="372"/>
      <c r="AR18" s="372"/>
      <c r="AS18" s="372"/>
      <c r="AT18" s="372"/>
      <c r="AU18" s="372"/>
    </row>
    <row r="19" spans="1:72" x14ac:dyDescent="0.2">
      <c r="A19" s="200" t="str">
        <f>КАФЕДРА!A19</f>
        <v>сумма по кафедрам (проверочная)</v>
      </c>
      <c r="B19" s="200"/>
      <c r="C19" s="204">
        <f>SUM(C20:C75)</f>
        <v>0</v>
      </c>
      <c r="D19" s="1941" t="e">
        <f>IF(E19/F19*100&gt;100,100,E19/F19*100)</f>
        <v>#DIV/0!</v>
      </c>
      <c r="E19" s="1941" t="e">
        <f>SUM(AE19:AI19)</f>
        <v>#DIV/0!</v>
      </c>
      <c r="F19" s="1941">
        <v>14</v>
      </c>
      <c r="G19" s="1709">
        <f t="shared" ref="G19:U19" si="0">SUM(G20:G77)</f>
        <v>0</v>
      </c>
      <c r="H19" s="205">
        <f t="shared" si="0"/>
        <v>0</v>
      </c>
      <c r="I19" s="205">
        <f t="shared" si="0"/>
        <v>0</v>
      </c>
      <c r="J19" s="205">
        <f t="shared" si="0"/>
        <v>0</v>
      </c>
      <c r="K19" s="1717">
        <f t="shared" si="0"/>
        <v>0</v>
      </c>
      <c r="L19" s="1715">
        <f t="shared" si="0"/>
        <v>0</v>
      </c>
      <c r="M19" s="1717">
        <f t="shared" si="0"/>
        <v>0</v>
      </c>
      <c r="N19" s="1951">
        <f t="shared" si="0"/>
        <v>0</v>
      </c>
      <c r="O19" s="1717">
        <f t="shared" si="0"/>
        <v>0</v>
      </c>
      <c r="P19" s="1951">
        <f t="shared" si="0"/>
        <v>0</v>
      </c>
      <c r="Q19" s="1717">
        <f t="shared" si="0"/>
        <v>0</v>
      </c>
      <c r="R19" s="1951">
        <f t="shared" si="0"/>
        <v>0</v>
      </c>
      <c r="S19" s="1717">
        <f t="shared" si="0"/>
        <v>0</v>
      </c>
      <c r="T19" s="1951">
        <f t="shared" si="0"/>
        <v>0</v>
      </c>
      <c r="U19" s="1717">
        <f t="shared" si="0"/>
        <v>0</v>
      </c>
      <c r="V19" s="1951">
        <f t="array" ref="V19">SUM(($L19:$U19)*($L$12:$U$12=V$12))</f>
        <v>0</v>
      </c>
      <c r="W19" s="1715">
        <f t="array" ref="W19">SUM(($L19:$U19)*($L$12:$U$12=W$12))</f>
        <v>0</v>
      </c>
      <c r="X19" s="1715">
        <f t="array" ref="X19">SUM(($L19:$U19)*($L$12:$U$12=X$12))</f>
        <v>0</v>
      </c>
      <c r="Y19" s="1715">
        <f t="array" ref="Y19">SUM(($L19:$U19)*($L$12:$U$12=Y$12))</f>
        <v>0</v>
      </c>
      <c r="Z19" s="1717">
        <f t="array" ref="Z19">SUM(($L19:$U19)*($L$12:$U$12=Z$12))</f>
        <v>0</v>
      </c>
      <c r="AA19" s="1715" t="e">
        <f>W19*10/$C19</f>
        <v>#DIV/0!</v>
      </c>
      <c r="AB19" s="1715" t="e">
        <f t="shared" ref="AB19:AD19" si="1">X19*10/$C19</f>
        <v>#DIV/0!</v>
      </c>
      <c r="AC19" s="1715" t="e">
        <f t="shared" si="1"/>
        <v>#DIV/0!</v>
      </c>
      <c r="AD19" s="1715" t="e">
        <f t="shared" si="1"/>
        <v>#DIV/0!</v>
      </c>
      <c r="AE19" s="1715">
        <f>V19*$AA$11</f>
        <v>0</v>
      </c>
      <c r="AF19" s="1715" t="e">
        <f>AA19/AA$10*AA$11</f>
        <v>#DIV/0!</v>
      </c>
      <c r="AG19" s="1715" t="e">
        <f t="shared" ref="AG19" si="2">AB19/AB$10*AB$11</f>
        <v>#DIV/0!</v>
      </c>
      <c r="AH19" s="1715" t="e">
        <f t="shared" ref="AH19" si="3">AC19/AC$10*AC$11</f>
        <v>#DIV/0!</v>
      </c>
      <c r="AI19" s="1715" t="e">
        <f t="shared" ref="AI19" si="4">AD19/AD$10*AD$11</f>
        <v>#DIV/0!</v>
      </c>
      <c r="AJ19" s="205"/>
      <c r="AK19" s="205"/>
      <c r="AL19" s="205"/>
      <c r="AM19" s="205"/>
      <c r="AN19" s="205"/>
      <c r="AO19" s="460"/>
      <c r="AP19" s="372"/>
      <c r="AQ19" s="372"/>
      <c r="AR19" s="372"/>
      <c r="AS19" s="372"/>
      <c r="AT19" s="372"/>
      <c r="AU19" s="372"/>
    </row>
    <row r="20" spans="1:72" x14ac:dyDescent="0.2">
      <c r="A20" s="551" t="str">
        <f>IF(LEN(КАФЕДРА!A20)&gt;2,КАФЕДРА!A20,"")</f>
        <v>Акушерства и гинекологии с курсом ДПО</v>
      </c>
      <c r="B20" s="442" t="str">
        <f>КАФЕДРА!$D20</f>
        <v>КМЕДИЦИНЫ</v>
      </c>
      <c r="C20" s="764">
        <f>IF(LEN(Кадры!$A20)&gt;2,Кадры!$E20,0)</f>
        <v>0</v>
      </c>
      <c r="D20" s="201" t="e">
        <f>IF(E20/F20*100&gt;100,100,E20/F20*100)</f>
        <v>#DIV/0!</v>
      </c>
      <c r="E20" s="202" t="e">
        <f>SUM(AE20:AI20)</f>
        <v>#DIV/0!</v>
      </c>
      <c r="F20" s="1290">
        <v>14</v>
      </c>
      <c r="G20" s="1710"/>
      <c r="H20" s="955">
        <f>H$7/10*$C20</f>
        <v>0</v>
      </c>
      <c r="I20" s="955">
        <f t="shared" ref="I20:K37" si="5">I$7/10*$C20</f>
        <v>0</v>
      </c>
      <c r="J20" s="955">
        <f t="shared" si="5"/>
        <v>0</v>
      </c>
      <c r="K20" s="1718">
        <f t="shared" si="5"/>
        <v>0</v>
      </c>
      <c r="L20" s="2066"/>
      <c r="M20" s="2065"/>
      <c r="N20" s="2066"/>
      <c r="O20" s="2065"/>
      <c r="P20" s="2066"/>
      <c r="Q20" s="2065"/>
      <c r="R20" s="2066"/>
      <c r="S20" s="2065"/>
      <c r="T20" s="2066"/>
      <c r="U20" s="2065"/>
      <c r="V20" s="1962">
        <f t="array" ref="V20">SUM(($L20:$U20)*($L$12:$U$12=V$12))</f>
        <v>0</v>
      </c>
      <c r="W20" s="1725">
        <f t="array" ref="W20">SUM(($L20:$U20)*($L$12:$U$12=W$12))</f>
        <v>0</v>
      </c>
      <c r="X20" s="1725">
        <f t="array" ref="X20">SUM(($L20:$U20)*($L$12:$U$12=X$12))</f>
        <v>0</v>
      </c>
      <c r="Y20" s="1725">
        <f t="array" ref="Y20">SUM(($L20:$U20)*($L$12:$U$12=Y$12))</f>
        <v>0</v>
      </c>
      <c r="Z20" s="1728">
        <f t="array" ref="Z20">SUM(($L20:$U20)*($L$12:$U$12=Z$12))</f>
        <v>0</v>
      </c>
      <c r="AA20" s="1725" t="e">
        <f>W20*10/$C20</f>
        <v>#DIV/0!</v>
      </c>
      <c r="AB20" s="1725" t="e">
        <f>X20*10/$C20</f>
        <v>#DIV/0!</v>
      </c>
      <c r="AC20" s="1725" t="e">
        <f t="shared" ref="AC20:AD20" si="6">Y20*10/$C20</f>
        <v>#DIV/0!</v>
      </c>
      <c r="AD20" s="1954" t="e">
        <f t="shared" si="6"/>
        <v>#DIV/0!</v>
      </c>
      <c r="AE20" s="1952">
        <f>V20*$AA$11</f>
        <v>0</v>
      </c>
      <c r="AF20" s="722" t="e">
        <f>AA20/AA$10*AA$11</f>
        <v>#DIV/0!</v>
      </c>
      <c r="AG20" s="722" t="e">
        <f t="shared" ref="AG20:AI20" si="7">AB20/AB$10*AB$11</f>
        <v>#DIV/0!</v>
      </c>
      <c r="AH20" s="722" t="e">
        <f t="shared" si="7"/>
        <v>#DIV/0!</v>
      </c>
      <c r="AI20" s="722" t="e">
        <f t="shared" si="7"/>
        <v>#DIV/0!</v>
      </c>
      <c r="AJ20" s="954" t="e">
        <f>SUM(AE20:AI20)</f>
        <v>#DIV/0!</v>
      </c>
      <c r="AK20" s="954"/>
      <c r="AL20" s="954"/>
      <c r="AM20" s="954"/>
      <c r="AN20" s="954"/>
      <c r="AO20" s="963"/>
      <c r="AP20" s="372"/>
      <c r="AQ20" s="372"/>
      <c r="AR20" s="372"/>
      <c r="AS20" s="372"/>
      <c r="AT20" s="372"/>
      <c r="AU20" s="372"/>
      <c r="BT20" s="262"/>
    </row>
    <row r="21" spans="1:72" x14ac:dyDescent="0.2">
      <c r="A21" s="551" t="str">
        <f>IF(LEN(КАФЕДРА!A21)&gt;2,КАФЕДРА!A21,"")</f>
        <v>Анатомии</v>
      </c>
      <c r="B21" s="442" t="str">
        <f>КАФЕДРА!$D21</f>
        <v>КМЕДИЦИНЫ</v>
      </c>
      <c r="C21" s="764">
        <f>IF(LEN(Кадры!$A21)&gt;2,Кадры!$E21,0)</f>
        <v>0</v>
      </c>
      <c r="D21" s="201" t="e">
        <f t="shared" ref="D21:D77" si="8">IF(E21/F21*100&gt;100,100,E21/F21*100)</f>
        <v>#DIV/0!</v>
      </c>
      <c r="E21" s="954" t="e">
        <f t="shared" ref="E21:E77" si="9">SUM(AE21:AI21)</f>
        <v>#DIV/0!</v>
      </c>
      <c r="F21" s="1290">
        <v>14</v>
      </c>
      <c r="G21" s="1710"/>
      <c r="H21" s="955">
        <f t="shared" ref="H21:K38" si="10">H$7/10*$C21</f>
        <v>0</v>
      </c>
      <c r="I21" s="955">
        <f t="shared" si="5"/>
        <v>0</v>
      </c>
      <c r="J21" s="955">
        <f t="shared" si="5"/>
        <v>0</v>
      </c>
      <c r="K21" s="1718">
        <f t="shared" si="5"/>
        <v>0</v>
      </c>
      <c r="L21" s="2066"/>
      <c r="M21" s="2065"/>
      <c r="N21" s="2066"/>
      <c r="O21" s="2065"/>
      <c r="P21" s="2066"/>
      <c r="Q21" s="2065"/>
      <c r="R21" s="2066"/>
      <c r="S21" s="2065"/>
      <c r="T21" s="2066"/>
      <c r="U21" s="2065"/>
      <c r="V21" s="1962">
        <f t="array" ref="V21">SUM(($L21:$U21)*($L$12:$U$12=V$12))</f>
        <v>0</v>
      </c>
      <c r="W21" s="1725">
        <f t="array" ref="W21">SUM(($L21:$U21)*($L$12:$U$12=W$12))</f>
        <v>0</v>
      </c>
      <c r="X21" s="1725">
        <f t="array" ref="X21">SUM(($L21:$U21)*($L$12:$U$12=X$12))</f>
        <v>0</v>
      </c>
      <c r="Y21" s="1725">
        <f t="array" ref="Y21">SUM(($L21:$U21)*($L$12:$U$12=Y$12))</f>
        <v>0</v>
      </c>
      <c r="Z21" s="1728">
        <f t="array" ref="Z21">SUM(($L21:$U21)*($L$12:$U$12=Z$12))</f>
        <v>0</v>
      </c>
      <c r="AA21" s="1725" t="e">
        <f t="shared" ref="AA21:AA75" si="11">W21*10/$C21</f>
        <v>#DIV/0!</v>
      </c>
      <c r="AB21" s="1725" t="e">
        <f t="shared" ref="AB21:AB77" si="12">X21*10/$C21</f>
        <v>#DIV/0!</v>
      </c>
      <c r="AC21" s="1725" t="e">
        <f t="shared" ref="AC21:AC77" si="13">Y21*10/$C21</f>
        <v>#DIV/0!</v>
      </c>
      <c r="AD21" s="1954" t="e">
        <f t="shared" ref="AD21:AD77" si="14">Z21*10/$C21</f>
        <v>#DIV/0!</v>
      </c>
      <c r="AE21" s="1952">
        <f t="shared" ref="AE21:AE77" si="15">V21*$AA$11</f>
        <v>0</v>
      </c>
      <c r="AF21" s="722" t="e">
        <f t="shared" ref="AF21:AF30" si="16">AA21/AA$10*AA$11</f>
        <v>#DIV/0!</v>
      </c>
      <c r="AG21" s="722" t="e">
        <f t="shared" ref="AG21:AG30" si="17">AB21/AB$10*AB$11</f>
        <v>#DIV/0!</v>
      </c>
      <c r="AH21" s="722" t="e">
        <f t="shared" ref="AH21:AH30" si="18">AC21/AC$10*AC$11</f>
        <v>#DIV/0!</v>
      </c>
      <c r="AI21" s="722" t="e">
        <f t="shared" ref="AI21:AI30" si="19">AD21/AD$10*AD$11</f>
        <v>#DIV/0!</v>
      </c>
      <c r="AJ21" s="954" t="e">
        <f t="shared" ref="AJ21:AJ37" si="20">SUM(AE21:AI21)</f>
        <v>#DIV/0!</v>
      </c>
      <c r="AK21" s="954"/>
      <c r="AL21" s="954"/>
      <c r="AM21" s="954"/>
      <c r="AN21" s="954"/>
      <c r="AO21" s="963"/>
      <c r="AP21" s="372"/>
      <c r="AQ21" s="372"/>
      <c r="AR21" s="372"/>
      <c r="AS21" s="372"/>
      <c r="AT21" s="372"/>
      <c r="AU21" s="372"/>
    </row>
    <row r="22" spans="1:72" x14ac:dyDescent="0.2">
      <c r="A22" s="551" t="str">
        <f>IF(LEN(КАФЕДРА!A22)&gt;2,КАФЕДРА!A22,"")</f>
        <v>Анестезиологии и реаниматологии с курсом ДПО</v>
      </c>
      <c r="B22" s="442" t="str">
        <f>КАФЕДРА!$D22</f>
        <v>КМЕДИЦИНЫ</v>
      </c>
      <c r="C22" s="764">
        <f>IF(LEN(Кадры!$A22)&gt;2,Кадры!$E22,0)</f>
        <v>0</v>
      </c>
      <c r="D22" s="201" t="e">
        <f t="shared" si="8"/>
        <v>#DIV/0!</v>
      </c>
      <c r="E22" s="954" t="e">
        <f t="shared" si="9"/>
        <v>#DIV/0!</v>
      </c>
      <c r="F22" s="1290">
        <v>14</v>
      </c>
      <c r="G22" s="1710"/>
      <c r="H22" s="955">
        <f t="shared" si="10"/>
        <v>0</v>
      </c>
      <c r="I22" s="955">
        <f t="shared" si="5"/>
        <v>0</v>
      </c>
      <c r="J22" s="955">
        <f t="shared" si="5"/>
        <v>0</v>
      </c>
      <c r="K22" s="1718">
        <f t="shared" si="5"/>
        <v>0</v>
      </c>
      <c r="L22" s="2066"/>
      <c r="M22" s="2065"/>
      <c r="N22" s="2066"/>
      <c r="O22" s="2065"/>
      <c r="P22" s="2066"/>
      <c r="Q22" s="2065"/>
      <c r="R22" s="2066"/>
      <c r="S22" s="2065"/>
      <c r="T22" s="2066"/>
      <c r="U22" s="2065"/>
      <c r="V22" s="1962">
        <f t="array" ref="V22">SUM(($L22:$U22)*($L$12:$U$12=V$12))</f>
        <v>0</v>
      </c>
      <c r="W22" s="1725">
        <f t="array" ref="W22">SUM(($L22:$U22)*($L$12:$U$12=W$12))</f>
        <v>0</v>
      </c>
      <c r="X22" s="1725">
        <f t="array" ref="X22">SUM(($L22:$U22)*($L$12:$U$12=X$12))</f>
        <v>0</v>
      </c>
      <c r="Y22" s="1725">
        <f t="array" ref="Y22">SUM(($L22:$U22)*($L$12:$U$12=Y$12))</f>
        <v>0</v>
      </c>
      <c r="Z22" s="1728">
        <f t="array" ref="Z22">SUM(($L22:$U22)*($L$12:$U$12=Z$12))</f>
        <v>0</v>
      </c>
      <c r="AA22" s="1725" t="e">
        <f t="shared" si="11"/>
        <v>#DIV/0!</v>
      </c>
      <c r="AB22" s="1725" t="e">
        <f t="shared" si="12"/>
        <v>#DIV/0!</v>
      </c>
      <c r="AC22" s="1725" t="e">
        <f t="shared" si="13"/>
        <v>#DIV/0!</v>
      </c>
      <c r="AD22" s="1954" t="e">
        <f t="shared" si="14"/>
        <v>#DIV/0!</v>
      </c>
      <c r="AE22" s="1952">
        <f t="shared" si="15"/>
        <v>0</v>
      </c>
      <c r="AF22" s="722" t="e">
        <f t="shared" si="16"/>
        <v>#DIV/0!</v>
      </c>
      <c r="AG22" s="722" t="e">
        <f t="shared" si="17"/>
        <v>#DIV/0!</v>
      </c>
      <c r="AH22" s="722" t="e">
        <f t="shared" si="18"/>
        <v>#DIV/0!</v>
      </c>
      <c r="AI22" s="722" t="e">
        <f t="shared" si="19"/>
        <v>#DIV/0!</v>
      </c>
      <c r="AJ22" s="954" t="e">
        <f t="shared" si="20"/>
        <v>#DIV/0!</v>
      </c>
      <c r="AK22" s="954"/>
      <c r="AL22" s="954"/>
      <c r="AM22" s="954"/>
      <c r="AN22" s="954"/>
      <c r="AO22" s="963"/>
      <c r="AP22" s="372"/>
      <c r="AQ22" s="372"/>
      <c r="AR22" s="372"/>
      <c r="AS22" s="372"/>
      <c r="AT22" s="372"/>
      <c r="AU22" s="372"/>
    </row>
    <row r="23" spans="1:72" x14ac:dyDescent="0.2">
      <c r="A23" s="551" t="str">
        <f>IF(LEN(КАФЕДРА!A23)&gt;2,КАФЕДРА!A23,"")</f>
        <v>Госпитальной терапии и эндокринологии</v>
      </c>
      <c r="B23" s="442" t="str">
        <f>КАФЕДРА!$D23</f>
        <v>КМЕДИЦИНЫ</v>
      </c>
      <c r="C23" s="764">
        <f>IF(LEN(Кадры!$A23)&gt;2,Кадры!$E23,0)</f>
        <v>0</v>
      </c>
      <c r="D23" s="201" t="e">
        <f t="shared" si="8"/>
        <v>#DIV/0!</v>
      </c>
      <c r="E23" s="954" t="e">
        <f t="shared" si="9"/>
        <v>#DIV/0!</v>
      </c>
      <c r="F23" s="1290">
        <v>14</v>
      </c>
      <c r="G23" s="1710"/>
      <c r="H23" s="955">
        <f t="shared" si="10"/>
        <v>0</v>
      </c>
      <c r="I23" s="955">
        <f t="shared" si="5"/>
        <v>0</v>
      </c>
      <c r="J23" s="955">
        <f t="shared" si="5"/>
        <v>0</v>
      </c>
      <c r="K23" s="1718">
        <f t="shared" si="5"/>
        <v>0</v>
      </c>
      <c r="L23" s="2066"/>
      <c r="M23" s="2065"/>
      <c r="N23" s="2066"/>
      <c r="O23" s="2065"/>
      <c r="P23" s="2066"/>
      <c r="Q23" s="2065"/>
      <c r="R23" s="2066"/>
      <c r="S23" s="2065"/>
      <c r="T23" s="2066"/>
      <c r="U23" s="2065"/>
      <c r="V23" s="1962">
        <f t="array" ref="V23">SUM(($L23:$U23)*($L$12:$U$12=V$12))</f>
        <v>0</v>
      </c>
      <c r="W23" s="1725">
        <f t="array" ref="W23">SUM(($L23:$U23)*($L$12:$U$12=W$12))</f>
        <v>0</v>
      </c>
      <c r="X23" s="1725">
        <f t="array" ref="X23">SUM(($L23:$U23)*($L$12:$U$12=X$12))</f>
        <v>0</v>
      </c>
      <c r="Y23" s="1725">
        <f t="array" ref="Y23">SUM(($L23:$U23)*($L$12:$U$12=Y$12))</f>
        <v>0</v>
      </c>
      <c r="Z23" s="1728">
        <f t="array" ref="Z23">SUM(($L23:$U23)*($L$12:$U$12=Z$12))</f>
        <v>0</v>
      </c>
      <c r="AA23" s="1725" t="e">
        <f t="shared" si="11"/>
        <v>#DIV/0!</v>
      </c>
      <c r="AB23" s="1725" t="e">
        <f t="shared" si="12"/>
        <v>#DIV/0!</v>
      </c>
      <c r="AC23" s="1725" t="e">
        <f t="shared" si="13"/>
        <v>#DIV/0!</v>
      </c>
      <c r="AD23" s="1954" t="e">
        <f t="shared" si="14"/>
        <v>#DIV/0!</v>
      </c>
      <c r="AE23" s="1952">
        <f t="shared" si="15"/>
        <v>0</v>
      </c>
      <c r="AF23" s="722" t="e">
        <f t="shared" si="16"/>
        <v>#DIV/0!</v>
      </c>
      <c r="AG23" s="722" t="e">
        <f t="shared" si="17"/>
        <v>#DIV/0!</v>
      </c>
      <c r="AH23" s="722" t="e">
        <f t="shared" si="18"/>
        <v>#DIV/0!</v>
      </c>
      <c r="AI23" s="722" t="e">
        <f t="shared" si="19"/>
        <v>#DIV/0!</v>
      </c>
      <c r="AJ23" s="954" t="e">
        <f t="shared" si="20"/>
        <v>#DIV/0!</v>
      </c>
      <c r="AK23" s="954"/>
      <c r="AL23" s="954"/>
      <c r="AM23" s="954"/>
      <c r="AN23" s="954"/>
      <c r="AO23" s="963"/>
    </row>
    <row r="24" spans="1:72" x14ac:dyDescent="0.2">
      <c r="A24" s="551" t="str">
        <f>IF(LEN(КАФЕДРА!A24)&gt;2,КАФЕДРА!A24,"")</f>
        <v>Госпитальной хирургии</v>
      </c>
      <c r="B24" s="442" t="str">
        <f>КАФЕДРА!$D24</f>
        <v>КМЕДИЦИНЫ</v>
      </c>
      <c r="C24" s="764">
        <f>IF(LEN(Кадры!$A24)&gt;2,Кадры!$E24,0)</f>
        <v>0</v>
      </c>
      <c r="D24" s="201" t="e">
        <f t="shared" si="8"/>
        <v>#DIV/0!</v>
      </c>
      <c r="E24" s="954" t="e">
        <f t="shared" si="9"/>
        <v>#DIV/0!</v>
      </c>
      <c r="F24" s="1290">
        <v>14</v>
      </c>
      <c r="G24" s="1710"/>
      <c r="H24" s="955">
        <f t="shared" si="10"/>
        <v>0</v>
      </c>
      <c r="I24" s="955">
        <f t="shared" si="5"/>
        <v>0</v>
      </c>
      <c r="J24" s="955">
        <f t="shared" si="5"/>
        <v>0</v>
      </c>
      <c r="K24" s="1718">
        <f t="shared" si="5"/>
        <v>0</v>
      </c>
      <c r="L24" s="2066"/>
      <c r="M24" s="2065"/>
      <c r="N24" s="2066"/>
      <c r="O24" s="2065"/>
      <c r="P24" s="2066"/>
      <c r="Q24" s="2065"/>
      <c r="R24" s="2066"/>
      <c r="S24" s="2065"/>
      <c r="T24" s="2066"/>
      <c r="U24" s="2065"/>
      <c r="V24" s="1962">
        <f t="array" ref="V24">SUM(($L24:$U24)*($L$12:$U$12=V$12))</f>
        <v>0</v>
      </c>
      <c r="W24" s="1725">
        <f t="array" ref="W24">SUM(($L24:$U24)*($L$12:$U$12=W$12))</f>
        <v>0</v>
      </c>
      <c r="X24" s="1725">
        <f t="array" ref="X24">SUM(($L24:$U24)*($L$12:$U$12=X$12))</f>
        <v>0</v>
      </c>
      <c r="Y24" s="1725">
        <f t="array" ref="Y24">SUM(($L24:$U24)*($L$12:$U$12=Y$12))</f>
        <v>0</v>
      </c>
      <c r="Z24" s="1728">
        <f t="array" ref="Z24">SUM(($L24:$U24)*($L$12:$U$12=Z$12))</f>
        <v>0</v>
      </c>
      <c r="AA24" s="1725" t="e">
        <f t="shared" si="11"/>
        <v>#DIV/0!</v>
      </c>
      <c r="AB24" s="1725" t="e">
        <f t="shared" si="12"/>
        <v>#DIV/0!</v>
      </c>
      <c r="AC24" s="1725" t="e">
        <f t="shared" si="13"/>
        <v>#DIV/0!</v>
      </c>
      <c r="AD24" s="1954" t="e">
        <f t="shared" si="14"/>
        <v>#DIV/0!</v>
      </c>
      <c r="AE24" s="1952">
        <f t="shared" si="15"/>
        <v>0</v>
      </c>
      <c r="AF24" s="722" t="e">
        <f t="shared" si="16"/>
        <v>#DIV/0!</v>
      </c>
      <c r="AG24" s="722" t="e">
        <f t="shared" si="17"/>
        <v>#DIV/0!</v>
      </c>
      <c r="AH24" s="722" t="e">
        <f t="shared" si="18"/>
        <v>#DIV/0!</v>
      </c>
      <c r="AI24" s="722" t="e">
        <f t="shared" si="19"/>
        <v>#DIV/0!</v>
      </c>
      <c r="AJ24" s="954" t="e">
        <f t="shared" si="20"/>
        <v>#DIV/0!</v>
      </c>
      <c r="AK24" s="954"/>
      <c r="AL24" s="954"/>
      <c r="AM24" s="954"/>
      <c r="AN24" s="954"/>
      <c r="AO24" s="963"/>
    </row>
    <row r="25" spans="1:72" x14ac:dyDescent="0.2">
      <c r="A25" s="551" t="str">
        <f>IF(LEN(КАФЕДРА!A25)&gt;2,КАФЕДРА!A25,"")</f>
        <v>Неврологии и Нейрохирургии с курсом ДПО</v>
      </c>
      <c r="B25" s="442" t="str">
        <f>КАФЕДРА!$D25</f>
        <v>КМЕДИЦИНЫ</v>
      </c>
      <c r="C25" s="764">
        <f>IF(LEN(Кадры!$A25)&gt;2,Кадры!$E25,0)</f>
        <v>0</v>
      </c>
      <c r="D25" s="201" t="e">
        <f t="shared" si="8"/>
        <v>#DIV/0!</v>
      </c>
      <c r="E25" s="954" t="e">
        <f t="shared" si="9"/>
        <v>#DIV/0!</v>
      </c>
      <c r="F25" s="1290">
        <v>14</v>
      </c>
      <c r="G25" s="1710"/>
      <c r="H25" s="955">
        <f t="shared" si="10"/>
        <v>0</v>
      </c>
      <c r="I25" s="955">
        <f t="shared" si="5"/>
        <v>0</v>
      </c>
      <c r="J25" s="955">
        <f t="shared" si="5"/>
        <v>0</v>
      </c>
      <c r="K25" s="1718">
        <f t="shared" si="5"/>
        <v>0</v>
      </c>
      <c r="L25" s="2066"/>
      <c r="M25" s="2065"/>
      <c r="N25" s="2066"/>
      <c r="O25" s="2065"/>
      <c r="P25" s="2066"/>
      <c r="Q25" s="2065"/>
      <c r="R25" s="2066"/>
      <c r="S25" s="2065"/>
      <c r="T25" s="2066"/>
      <c r="U25" s="2065"/>
      <c r="V25" s="1962">
        <f t="array" ref="V25">SUM(($L25:$U25)*($L$12:$U$12=V$12))</f>
        <v>0</v>
      </c>
      <c r="W25" s="1725">
        <f t="array" ref="W25">SUM(($L25:$U25)*($L$12:$U$12=W$12))</f>
        <v>0</v>
      </c>
      <c r="X25" s="1725">
        <f t="array" ref="X25">SUM(($L25:$U25)*($L$12:$U$12=X$12))</f>
        <v>0</v>
      </c>
      <c r="Y25" s="1725">
        <f t="array" ref="Y25">SUM(($L25:$U25)*($L$12:$U$12=Y$12))</f>
        <v>0</v>
      </c>
      <c r="Z25" s="1728">
        <f t="array" ref="Z25">SUM(($L25:$U25)*($L$12:$U$12=Z$12))</f>
        <v>0</v>
      </c>
      <c r="AA25" s="1725" t="e">
        <f t="shared" si="11"/>
        <v>#DIV/0!</v>
      </c>
      <c r="AB25" s="1725" t="e">
        <f t="shared" si="12"/>
        <v>#DIV/0!</v>
      </c>
      <c r="AC25" s="1725" t="e">
        <f t="shared" si="13"/>
        <v>#DIV/0!</v>
      </c>
      <c r="AD25" s="1954" t="e">
        <f t="shared" si="14"/>
        <v>#DIV/0!</v>
      </c>
      <c r="AE25" s="1952">
        <f t="shared" si="15"/>
        <v>0</v>
      </c>
      <c r="AF25" s="722" t="e">
        <f t="shared" si="16"/>
        <v>#DIV/0!</v>
      </c>
      <c r="AG25" s="722" t="e">
        <f t="shared" si="17"/>
        <v>#DIV/0!</v>
      </c>
      <c r="AH25" s="722" t="e">
        <f t="shared" si="18"/>
        <v>#DIV/0!</v>
      </c>
      <c r="AI25" s="722" t="e">
        <f t="shared" si="19"/>
        <v>#DIV/0!</v>
      </c>
      <c r="AJ25" s="954" t="e">
        <f t="shared" si="20"/>
        <v>#DIV/0!</v>
      </c>
      <c r="AK25" s="954"/>
      <c r="AL25" s="954"/>
      <c r="AM25" s="954"/>
      <c r="AN25" s="954"/>
      <c r="AO25" s="963"/>
    </row>
    <row r="26" spans="1:72" x14ac:dyDescent="0.2">
      <c r="A26" s="551" t="str">
        <f>IF(LEN(КАФЕДРА!A26)&gt;2,КАФЕДРА!A26,"")</f>
        <v>Нормальной физиологии</v>
      </c>
      <c r="B26" s="442" t="str">
        <f>КАФЕДРА!$D26</f>
        <v>КМЕДИЦИНЫ</v>
      </c>
      <c r="C26" s="764">
        <f>IF(LEN(Кадры!$A26)&gt;2,Кадры!$E26,0)</f>
        <v>0</v>
      </c>
      <c r="D26" s="201" t="e">
        <f t="shared" si="8"/>
        <v>#DIV/0!</v>
      </c>
      <c r="E26" s="954" t="e">
        <f t="shared" si="9"/>
        <v>#DIV/0!</v>
      </c>
      <c r="F26" s="1290">
        <v>14</v>
      </c>
      <c r="G26" s="1710"/>
      <c r="H26" s="955">
        <f t="shared" si="10"/>
        <v>0</v>
      </c>
      <c r="I26" s="955">
        <f t="shared" si="5"/>
        <v>0</v>
      </c>
      <c r="J26" s="955">
        <f t="shared" si="5"/>
        <v>0</v>
      </c>
      <c r="K26" s="1718">
        <f t="shared" si="5"/>
        <v>0</v>
      </c>
      <c r="L26" s="2066"/>
      <c r="M26" s="2065"/>
      <c r="N26" s="2066"/>
      <c r="O26" s="2065"/>
      <c r="P26" s="2066"/>
      <c r="Q26" s="2065"/>
      <c r="R26" s="2066"/>
      <c r="S26" s="2065"/>
      <c r="T26" s="2066"/>
      <c r="U26" s="2065"/>
      <c r="V26" s="1962">
        <f t="array" ref="V26">SUM(($L26:$U26)*($L$12:$U$12=V$12))</f>
        <v>0</v>
      </c>
      <c r="W26" s="1725">
        <f t="array" ref="W26">SUM(($L26:$U26)*($L$12:$U$12=W$12))</f>
        <v>0</v>
      </c>
      <c r="X26" s="1725">
        <f t="array" ref="X26">SUM(($L26:$U26)*($L$12:$U$12=X$12))</f>
        <v>0</v>
      </c>
      <c r="Y26" s="1725">
        <f t="array" ref="Y26">SUM(($L26:$U26)*($L$12:$U$12=Y$12))</f>
        <v>0</v>
      </c>
      <c r="Z26" s="1728">
        <f t="array" ref="Z26">SUM(($L26:$U26)*($L$12:$U$12=Z$12))</f>
        <v>0</v>
      </c>
      <c r="AA26" s="1725" t="e">
        <f t="shared" si="11"/>
        <v>#DIV/0!</v>
      </c>
      <c r="AB26" s="1725" t="e">
        <f t="shared" si="12"/>
        <v>#DIV/0!</v>
      </c>
      <c r="AC26" s="1725" t="e">
        <f t="shared" si="13"/>
        <v>#DIV/0!</v>
      </c>
      <c r="AD26" s="1954" t="e">
        <f t="shared" si="14"/>
        <v>#DIV/0!</v>
      </c>
      <c r="AE26" s="1952">
        <f t="shared" si="15"/>
        <v>0</v>
      </c>
      <c r="AF26" s="722" t="e">
        <f t="shared" si="16"/>
        <v>#DIV/0!</v>
      </c>
      <c r="AG26" s="722" t="e">
        <f t="shared" si="17"/>
        <v>#DIV/0!</v>
      </c>
      <c r="AH26" s="722" t="e">
        <f t="shared" si="18"/>
        <v>#DIV/0!</v>
      </c>
      <c r="AI26" s="722" t="e">
        <f t="shared" si="19"/>
        <v>#DIV/0!</v>
      </c>
      <c r="AJ26" s="954" t="e">
        <f t="shared" si="20"/>
        <v>#DIV/0!</v>
      </c>
      <c r="AK26" s="954"/>
      <c r="AL26" s="954"/>
      <c r="AM26" s="954"/>
      <c r="AN26" s="954"/>
      <c r="AO26" s="963"/>
    </row>
    <row r="27" spans="1:72" x14ac:dyDescent="0.2">
      <c r="A27" s="551" t="str">
        <f>IF(LEN(КАФЕДРА!A27)&gt;2,КАФЕДРА!A27,"")</f>
        <v>Общей хирургии, оперативной хирургии и топографической анатомии</v>
      </c>
      <c r="B27" s="442" t="str">
        <f>КАФЕДРА!$D27</f>
        <v>КМЕДИЦИНЫ</v>
      </c>
      <c r="C27" s="764">
        <f>IF(LEN(Кадры!$A27)&gt;2,Кадры!$E27,0)</f>
        <v>0</v>
      </c>
      <c r="D27" s="201" t="e">
        <f t="shared" si="8"/>
        <v>#DIV/0!</v>
      </c>
      <c r="E27" s="954" t="e">
        <f t="shared" si="9"/>
        <v>#DIV/0!</v>
      </c>
      <c r="F27" s="1290">
        <v>14</v>
      </c>
      <c r="G27" s="1710"/>
      <c r="H27" s="955">
        <f t="shared" si="10"/>
        <v>0</v>
      </c>
      <c r="I27" s="955">
        <f t="shared" si="5"/>
        <v>0</v>
      </c>
      <c r="J27" s="955">
        <f t="shared" si="5"/>
        <v>0</v>
      </c>
      <c r="K27" s="1718">
        <f t="shared" si="5"/>
        <v>0</v>
      </c>
      <c r="L27" s="2066"/>
      <c r="M27" s="2065"/>
      <c r="N27" s="2066"/>
      <c r="O27" s="2065"/>
      <c r="P27" s="2066"/>
      <c r="Q27" s="2065"/>
      <c r="R27" s="2066"/>
      <c r="S27" s="2065"/>
      <c r="T27" s="2066"/>
      <c r="U27" s="2065"/>
      <c r="V27" s="1962">
        <f t="array" ref="V27">SUM(($L27:$U27)*($L$12:$U$12=V$12))</f>
        <v>0</v>
      </c>
      <c r="W27" s="1725">
        <f t="array" ref="W27">SUM(($L27:$U27)*($L$12:$U$12=W$12))</f>
        <v>0</v>
      </c>
      <c r="X27" s="1725">
        <f t="array" ref="X27">SUM(($L27:$U27)*($L$12:$U$12=X$12))</f>
        <v>0</v>
      </c>
      <c r="Y27" s="1725">
        <f t="array" ref="Y27">SUM(($L27:$U27)*($L$12:$U$12=Y$12))</f>
        <v>0</v>
      </c>
      <c r="Z27" s="1728">
        <f t="array" ref="Z27">SUM(($L27:$U27)*($L$12:$U$12=Z$12))</f>
        <v>0</v>
      </c>
      <c r="AA27" s="1725" t="e">
        <f t="shared" si="11"/>
        <v>#DIV/0!</v>
      </c>
      <c r="AB27" s="1725" t="e">
        <f t="shared" si="12"/>
        <v>#DIV/0!</v>
      </c>
      <c r="AC27" s="1725" t="e">
        <f t="shared" si="13"/>
        <v>#DIV/0!</v>
      </c>
      <c r="AD27" s="1954" t="e">
        <f t="shared" si="14"/>
        <v>#DIV/0!</v>
      </c>
      <c r="AE27" s="1952">
        <f t="shared" si="15"/>
        <v>0</v>
      </c>
      <c r="AF27" s="722" t="e">
        <f t="shared" si="16"/>
        <v>#DIV/0!</v>
      </c>
      <c r="AG27" s="722" t="e">
        <f t="shared" si="17"/>
        <v>#DIV/0!</v>
      </c>
      <c r="AH27" s="722" t="e">
        <f t="shared" si="18"/>
        <v>#DIV/0!</v>
      </c>
      <c r="AI27" s="722" t="e">
        <f t="shared" si="19"/>
        <v>#DIV/0!</v>
      </c>
      <c r="AJ27" s="954" t="e">
        <f t="shared" si="20"/>
        <v>#DIV/0!</v>
      </c>
      <c r="AK27" s="954"/>
      <c r="AL27" s="954"/>
      <c r="AM27" s="954"/>
      <c r="AN27" s="954"/>
      <c r="AO27" s="963"/>
      <c r="AP27" s="963"/>
    </row>
    <row r="28" spans="1:72" x14ac:dyDescent="0.2">
      <c r="A28" s="551" t="str">
        <f>IF(LEN(КАФЕДРА!A28)&gt;2,КАФЕДРА!A28,"")</f>
        <v>Оториноларингологии с курсом ДПО</v>
      </c>
      <c r="B28" s="442" t="str">
        <f>КАФЕДРА!$D28</f>
        <v>КМЕДИЦИНЫ</v>
      </c>
      <c r="C28" s="764">
        <f>IF(LEN(Кадры!$A28)&gt;2,Кадры!$E28,0)</f>
        <v>0</v>
      </c>
      <c r="D28" s="201" t="e">
        <f t="shared" si="8"/>
        <v>#DIV/0!</v>
      </c>
      <c r="E28" s="954" t="e">
        <f t="shared" si="9"/>
        <v>#DIV/0!</v>
      </c>
      <c r="F28" s="1290">
        <v>14</v>
      </c>
      <c r="G28" s="1710"/>
      <c r="H28" s="955">
        <f t="shared" si="10"/>
        <v>0</v>
      </c>
      <c r="I28" s="955">
        <f t="shared" si="5"/>
        <v>0</v>
      </c>
      <c r="J28" s="955">
        <f t="shared" si="5"/>
        <v>0</v>
      </c>
      <c r="K28" s="1718">
        <f t="shared" si="5"/>
        <v>0</v>
      </c>
      <c r="L28" s="2066"/>
      <c r="M28" s="2065"/>
      <c r="N28" s="2066"/>
      <c r="O28" s="2065"/>
      <c r="P28" s="2066"/>
      <c r="Q28" s="2065"/>
      <c r="R28" s="2066"/>
      <c r="S28" s="2065"/>
      <c r="T28" s="2066"/>
      <c r="U28" s="2065"/>
      <c r="V28" s="1962">
        <f t="array" ref="V28">SUM(($L28:$U28)*($L$12:$U$12=V$12))</f>
        <v>0</v>
      </c>
      <c r="W28" s="1725">
        <f t="array" ref="W28">SUM(($L28:$U28)*($L$12:$U$12=W$12))</f>
        <v>0</v>
      </c>
      <c r="X28" s="1725">
        <f t="array" ref="X28">SUM(($L28:$U28)*($L$12:$U$12=X$12))</f>
        <v>0</v>
      </c>
      <c r="Y28" s="1725">
        <f t="array" ref="Y28">SUM(($L28:$U28)*($L$12:$U$12=Y$12))</f>
        <v>0</v>
      </c>
      <c r="Z28" s="1728">
        <f t="array" ref="Z28">SUM(($L28:$U28)*($L$12:$U$12=Z$12))</f>
        <v>0</v>
      </c>
      <c r="AA28" s="1725" t="e">
        <f t="shared" si="11"/>
        <v>#DIV/0!</v>
      </c>
      <c r="AB28" s="1725" t="e">
        <f t="shared" si="12"/>
        <v>#DIV/0!</v>
      </c>
      <c r="AC28" s="1725" t="e">
        <f t="shared" si="13"/>
        <v>#DIV/0!</v>
      </c>
      <c r="AD28" s="1954" t="e">
        <f t="shared" si="14"/>
        <v>#DIV/0!</v>
      </c>
      <c r="AE28" s="1952">
        <f t="shared" si="15"/>
        <v>0</v>
      </c>
      <c r="AF28" s="722" t="e">
        <f t="shared" si="16"/>
        <v>#DIV/0!</v>
      </c>
      <c r="AG28" s="722" t="e">
        <f t="shared" si="17"/>
        <v>#DIV/0!</v>
      </c>
      <c r="AH28" s="722" t="e">
        <f t="shared" si="18"/>
        <v>#DIV/0!</v>
      </c>
      <c r="AI28" s="722" t="e">
        <f t="shared" si="19"/>
        <v>#DIV/0!</v>
      </c>
      <c r="AJ28" s="954" t="e">
        <f t="shared" si="20"/>
        <v>#DIV/0!</v>
      </c>
      <c r="AK28" s="954"/>
      <c r="AL28" s="954"/>
      <c r="AM28" s="954"/>
      <c r="AN28" s="954"/>
      <c r="AO28" s="963"/>
    </row>
    <row r="29" spans="1:72" x14ac:dyDescent="0.2">
      <c r="A29" s="551" t="str">
        <f>IF(LEN(КАФЕДРА!A29)&gt;2,КАФЕДРА!A29,"")</f>
        <v>Поликлинической терапии</v>
      </c>
      <c r="B29" s="442" t="str">
        <f>КАФЕДРА!$D29</f>
        <v>КМЕДИЦИНЫ</v>
      </c>
      <c r="C29" s="764">
        <f>IF(LEN(Кадры!$A29)&gt;2,Кадры!$E29,0)</f>
        <v>0</v>
      </c>
      <c r="D29" s="201" t="e">
        <f t="shared" si="8"/>
        <v>#DIV/0!</v>
      </c>
      <c r="E29" s="954" t="e">
        <f t="shared" si="9"/>
        <v>#DIV/0!</v>
      </c>
      <c r="F29" s="1290">
        <v>14</v>
      </c>
      <c r="G29" s="1710"/>
      <c r="H29" s="955">
        <f t="shared" si="10"/>
        <v>0</v>
      </c>
      <c r="I29" s="955">
        <f t="shared" si="5"/>
        <v>0</v>
      </c>
      <c r="J29" s="955">
        <f t="shared" si="5"/>
        <v>0</v>
      </c>
      <c r="K29" s="1718">
        <f t="shared" si="5"/>
        <v>0</v>
      </c>
      <c r="L29" s="2066"/>
      <c r="M29" s="2065"/>
      <c r="N29" s="2066"/>
      <c r="O29" s="2065"/>
      <c r="P29" s="2066"/>
      <c r="Q29" s="2065"/>
      <c r="R29" s="2066"/>
      <c r="S29" s="2065"/>
      <c r="T29" s="2066"/>
      <c r="U29" s="2065"/>
      <c r="V29" s="1962">
        <f t="array" ref="V29">SUM(($L29:$U29)*($L$12:$U$12=V$12))</f>
        <v>0</v>
      </c>
      <c r="W29" s="1725">
        <f t="array" ref="W29">SUM(($L29:$U29)*($L$12:$U$12=W$12))</f>
        <v>0</v>
      </c>
      <c r="X29" s="1725">
        <f t="array" ref="X29">SUM(($L29:$U29)*($L$12:$U$12=X$12))</f>
        <v>0</v>
      </c>
      <c r="Y29" s="1725">
        <f t="array" ref="Y29">SUM(($L29:$U29)*($L$12:$U$12=Y$12))</f>
        <v>0</v>
      </c>
      <c r="Z29" s="1728">
        <f t="array" ref="Z29">SUM(($L29:$U29)*($L$12:$U$12=Z$12))</f>
        <v>0</v>
      </c>
      <c r="AA29" s="1725" t="e">
        <f t="shared" si="11"/>
        <v>#DIV/0!</v>
      </c>
      <c r="AB29" s="1725" t="e">
        <f t="shared" si="12"/>
        <v>#DIV/0!</v>
      </c>
      <c r="AC29" s="1725" t="e">
        <f t="shared" si="13"/>
        <v>#DIV/0!</v>
      </c>
      <c r="AD29" s="1954" t="e">
        <f t="shared" si="14"/>
        <v>#DIV/0!</v>
      </c>
      <c r="AE29" s="1952">
        <f t="shared" si="15"/>
        <v>0</v>
      </c>
      <c r="AF29" s="722" t="e">
        <f t="shared" si="16"/>
        <v>#DIV/0!</v>
      </c>
      <c r="AG29" s="722" t="e">
        <f t="shared" si="17"/>
        <v>#DIV/0!</v>
      </c>
      <c r="AH29" s="722" t="e">
        <f t="shared" si="18"/>
        <v>#DIV/0!</v>
      </c>
      <c r="AI29" s="722" t="e">
        <f t="shared" si="19"/>
        <v>#DIV/0!</v>
      </c>
      <c r="AJ29" s="954" t="e">
        <f t="shared" si="20"/>
        <v>#DIV/0!</v>
      </c>
      <c r="AK29" s="954"/>
      <c r="AL29" s="954"/>
      <c r="AM29" s="954"/>
      <c r="AN29" s="954"/>
      <c r="AO29" s="963"/>
    </row>
    <row r="30" spans="1:72" x14ac:dyDescent="0.2">
      <c r="A30" s="551" t="str">
        <f>IF(LEN(КАФЕДРА!A30)&gt;2,КАФЕДРА!A30,"")</f>
        <v>Пропедевтики внутренних болезней имени профессора З.С. Баркагана</v>
      </c>
      <c r="B30" s="442" t="str">
        <f>КАФЕДРА!$D30</f>
        <v>КМЕДИЦИНЫ</v>
      </c>
      <c r="C30" s="764">
        <f>IF(LEN(Кадры!$A30)&gt;2,Кадры!$E30,0)</f>
        <v>0</v>
      </c>
      <c r="D30" s="201" t="e">
        <f t="shared" si="8"/>
        <v>#DIV/0!</v>
      </c>
      <c r="E30" s="954" t="e">
        <f t="shared" si="9"/>
        <v>#DIV/0!</v>
      </c>
      <c r="F30" s="1290">
        <v>14</v>
      </c>
      <c r="G30" s="1710"/>
      <c r="H30" s="955">
        <f t="shared" si="10"/>
        <v>0</v>
      </c>
      <c r="I30" s="955">
        <f t="shared" si="5"/>
        <v>0</v>
      </c>
      <c r="J30" s="955">
        <f t="shared" si="5"/>
        <v>0</v>
      </c>
      <c r="K30" s="1718">
        <f t="shared" si="5"/>
        <v>0</v>
      </c>
      <c r="L30" s="2066"/>
      <c r="M30" s="2065"/>
      <c r="N30" s="2066"/>
      <c r="O30" s="2065"/>
      <c r="P30" s="2066"/>
      <c r="Q30" s="2065"/>
      <c r="R30" s="2066"/>
      <c r="S30" s="2065"/>
      <c r="T30" s="2066"/>
      <c r="U30" s="2065"/>
      <c r="V30" s="1962">
        <f t="array" ref="V30">SUM(($L30:$U30)*($L$12:$U$12=V$12))</f>
        <v>0</v>
      </c>
      <c r="W30" s="1725">
        <f t="array" ref="W30">SUM(($L30:$U30)*($L$12:$U$12=W$12))</f>
        <v>0</v>
      </c>
      <c r="X30" s="1725">
        <f t="array" ref="X30">SUM(($L30:$U30)*($L$12:$U$12=X$12))</f>
        <v>0</v>
      </c>
      <c r="Y30" s="1725">
        <f t="array" ref="Y30">SUM(($L30:$U30)*($L$12:$U$12=Y$12))</f>
        <v>0</v>
      </c>
      <c r="Z30" s="1728">
        <f t="array" ref="Z30">SUM(($L30:$U30)*($L$12:$U$12=Z$12))</f>
        <v>0</v>
      </c>
      <c r="AA30" s="1725" t="e">
        <f t="shared" si="11"/>
        <v>#DIV/0!</v>
      </c>
      <c r="AB30" s="1725" t="e">
        <f t="shared" si="12"/>
        <v>#DIV/0!</v>
      </c>
      <c r="AC30" s="1725" t="e">
        <f t="shared" si="13"/>
        <v>#DIV/0!</v>
      </c>
      <c r="AD30" s="1954" t="e">
        <f t="shared" si="14"/>
        <v>#DIV/0!</v>
      </c>
      <c r="AE30" s="1952">
        <f t="shared" si="15"/>
        <v>0</v>
      </c>
      <c r="AF30" s="722" t="e">
        <f t="shared" si="16"/>
        <v>#DIV/0!</v>
      </c>
      <c r="AG30" s="722" t="e">
        <f t="shared" si="17"/>
        <v>#DIV/0!</v>
      </c>
      <c r="AH30" s="722" t="e">
        <f t="shared" si="18"/>
        <v>#DIV/0!</v>
      </c>
      <c r="AI30" s="722" t="e">
        <f t="shared" si="19"/>
        <v>#DIV/0!</v>
      </c>
      <c r="AJ30" s="954" t="e">
        <f t="shared" si="20"/>
        <v>#DIV/0!</v>
      </c>
      <c r="AK30" s="954"/>
      <c r="AL30" s="954"/>
      <c r="AM30" s="954"/>
      <c r="AN30" s="954"/>
      <c r="AO30" s="963"/>
    </row>
    <row r="31" spans="1:72" x14ac:dyDescent="0.2">
      <c r="A31" s="551" t="str">
        <f>IF(LEN(КАФЕДРА!A31)&gt;2,КАФЕДРА!A31,"")</f>
        <v>Терапии и общей врачебной практики с курсом ДПО</v>
      </c>
      <c r="B31" s="442" t="str">
        <f>КАФЕДРА!$D31</f>
        <v>КМЕДИЦИНЫ</v>
      </c>
      <c r="C31" s="764">
        <f>IF(LEN(Кадры!$A31)&gt;2,Кадры!$E31,0)</f>
        <v>0</v>
      </c>
      <c r="D31" s="201" t="e">
        <f t="shared" si="8"/>
        <v>#DIV/0!</v>
      </c>
      <c r="E31" s="954" t="e">
        <f t="shared" si="9"/>
        <v>#DIV/0!</v>
      </c>
      <c r="F31" s="1290">
        <v>14</v>
      </c>
      <c r="G31" s="1710"/>
      <c r="H31" s="955">
        <f t="shared" si="10"/>
        <v>0</v>
      </c>
      <c r="I31" s="955">
        <f t="shared" si="5"/>
        <v>0</v>
      </c>
      <c r="J31" s="955">
        <f t="shared" si="5"/>
        <v>0</v>
      </c>
      <c r="K31" s="1718">
        <f t="shared" si="5"/>
        <v>0</v>
      </c>
      <c r="L31" s="2066"/>
      <c r="M31" s="2065"/>
      <c r="N31" s="2066"/>
      <c r="O31" s="2065"/>
      <c r="P31" s="2066"/>
      <c r="Q31" s="2065"/>
      <c r="R31" s="2066"/>
      <c r="S31" s="2065"/>
      <c r="T31" s="2066"/>
      <c r="U31" s="2065"/>
      <c r="V31" s="1962">
        <f t="array" ref="V31">SUM(($L31:$U31)*($L$12:$U$12=V$12))</f>
        <v>0</v>
      </c>
      <c r="W31" s="1725">
        <f t="array" ref="W31">SUM(($L31:$U31)*($L$12:$U$12=W$12))</f>
        <v>0</v>
      </c>
      <c r="X31" s="1725">
        <f t="array" ref="X31">SUM(($L31:$U31)*($L$12:$U$12=X$12))</f>
        <v>0</v>
      </c>
      <c r="Y31" s="1725">
        <f t="array" ref="Y31">SUM(($L31:$U31)*($L$12:$U$12=Y$12))</f>
        <v>0</v>
      </c>
      <c r="Z31" s="1728">
        <f t="array" ref="Z31">SUM(($L31:$U31)*($L$12:$U$12=Z$12))</f>
        <v>0</v>
      </c>
      <c r="AA31" s="1725" t="e">
        <f t="shared" si="11"/>
        <v>#DIV/0!</v>
      </c>
      <c r="AB31" s="1725" t="e">
        <f t="shared" si="12"/>
        <v>#DIV/0!</v>
      </c>
      <c r="AC31" s="1725" t="e">
        <f t="shared" si="13"/>
        <v>#DIV/0!</v>
      </c>
      <c r="AD31" s="1954" t="e">
        <f t="shared" si="14"/>
        <v>#DIV/0!</v>
      </c>
      <c r="AE31" s="1952">
        <f t="shared" si="15"/>
        <v>0</v>
      </c>
      <c r="AF31" s="722" t="e">
        <f t="shared" ref="AF31:AF77" si="21">AA31/AA$10*AA$11</f>
        <v>#DIV/0!</v>
      </c>
      <c r="AG31" s="722" t="e">
        <f t="shared" ref="AG31:AG77" si="22">AB31/AB$10*AB$11</f>
        <v>#DIV/0!</v>
      </c>
      <c r="AH31" s="722" t="e">
        <f t="shared" ref="AH31:AH77" si="23">AC31/AC$10*AC$11</f>
        <v>#DIV/0!</v>
      </c>
      <c r="AI31" s="722" t="e">
        <f t="shared" ref="AI31:AI77" si="24">AD31/AD$10*AD$11</f>
        <v>#DIV/0!</v>
      </c>
      <c r="AJ31" s="954" t="e">
        <f t="shared" si="20"/>
        <v>#DIV/0!</v>
      </c>
      <c r="AK31" s="954"/>
      <c r="AL31" s="954"/>
      <c r="AM31" s="954"/>
      <c r="AN31" s="954"/>
      <c r="AO31" s="963"/>
    </row>
    <row r="32" spans="1:72" x14ac:dyDescent="0.2">
      <c r="A32" s="551" t="str">
        <f>IF(LEN(КАФЕДРА!A32)&gt;2,КАФЕДРА!A32,"")</f>
        <v>Травматологии и ортопедии</v>
      </c>
      <c r="B32" s="442" t="str">
        <f>КАФЕДРА!$D32</f>
        <v>КМЕДИЦИНЫ</v>
      </c>
      <c r="C32" s="764">
        <f>IF(LEN(Кадры!$A32)&gt;2,Кадры!$E32,0)</f>
        <v>0</v>
      </c>
      <c r="D32" s="201" t="e">
        <f t="shared" si="8"/>
        <v>#DIV/0!</v>
      </c>
      <c r="E32" s="954" t="e">
        <f t="shared" si="9"/>
        <v>#DIV/0!</v>
      </c>
      <c r="F32" s="1290">
        <v>14</v>
      </c>
      <c r="G32" s="1710"/>
      <c r="H32" s="955">
        <f t="shared" si="10"/>
        <v>0</v>
      </c>
      <c r="I32" s="955">
        <f t="shared" si="5"/>
        <v>0</v>
      </c>
      <c r="J32" s="955">
        <f t="shared" si="5"/>
        <v>0</v>
      </c>
      <c r="K32" s="1718">
        <f t="shared" si="5"/>
        <v>0</v>
      </c>
      <c r="L32" s="2066"/>
      <c r="M32" s="2065"/>
      <c r="N32" s="2066"/>
      <c r="O32" s="2065"/>
      <c r="P32" s="2066"/>
      <c r="Q32" s="2065"/>
      <c r="R32" s="2066"/>
      <c r="S32" s="2065"/>
      <c r="T32" s="2066"/>
      <c r="U32" s="2065"/>
      <c r="V32" s="1962">
        <f t="array" ref="V32">SUM(($L32:$U32)*($L$12:$U$12=V$12))</f>
        <v>0</v>
      </c>
      <c r="W32" s="1725">
        <f t="array" ref="W32">SUM(($L32:$U32)*($L$12:$U$12=W$12))</f>
        <v>0</v>
      </c>
      <c r="X32" s="1725">
        <f t="array" ref="X32">SUM(($L32:$U32)*($L$12:$U$12=X$12))</f>
        <v>0</v>
      </c>
      <c r="Y32" s="1725">
        <f t="array" ref="Y32">SUM(($L32:$U32)*($L$12:$U$12=Y$12))</f>
        <v>0</v>
      </c>
      <c r="Z32" s="1728">
        <f t="array" ref="Z32">SUM(($L32:$U32)*($L$12:$U$12=Z$12))</f>
        <v>0</v>
      </c>
      <c r="AA32" s="1725" t="e">
        <f t="shared" si="11"/>
        <v>#DIV/0!</v>
      </c>
      <c r="AB32" s="1725" t="e">
        <f t="shared" si="12"/>
        <v>#DIV/0!</v>
      </c>
      <c r="AC32" s="1725" t="e">
        <f t="shared" si="13"/>
        <v>#DIV/0!</v>
      </c>
      <c r="AD32" s="1954" t="e">
        <f t="shared" si="14"/>
        <v>#DIV/0!</v>
      </c>
      <c r="AE32" s="1952">
        <f t="shared" si="15"/>
        <v>0</v>
      </c>
      <c r="AF32" s="722" t="e">
        <f t="shared" si="21"/>
        <v>#DIV/0!</v>
      </c>
      <c r="AG32" s="722" t="e">
        <f t="shared" si="22"/>
        <v>#DIV/0!</v>
      </c>
      <c r="AH32" s="722" t="e">
        <f t="shared" si="23"/>
        <v>#DIV/0!</v>
      </c>
      <c r="AI32" s="722" t="e">
        <f t="shared" si="24"/>
        <v>#DIV/0!</v>
      </c>
      <c r="AJ32" s="954" t="e">
        <f t="shared" si="20"/>
        <v>#DIV/0!</v>
      </c>
      <c r="AK32" s="954"/>
      <c r="AL32" s="954"/>
      <c r="AM32" s="954"/>
      <c r="AN32" s="954"/>
      <c r="AO32" s="963"/>
    </row>
    <row r="33" spans="1:41" x14ac:dyDescent="0.2">
      <c r="A33" s="551" t="str">
        <f>IF(LEN(КАФЕДРА!A33)&gt;2,КАФЕДРА!A33,"")</f>
        <v>Ультразвуковой и функциональной диагностики с курсом ДПО</v>
      </c>
      <c r="B33" s="442" t="str">
        <f>КАФЕДРА!$D33</f>
        <v>КМЕДИЦИНЫ</v>
      </c>
      <c r="C33" s="764">
        <f>IF(LEN(Кадры!$A33)&gt;2,Кадры!$E33,0)</f>
        <v>0</v>
      </c>
      <c r="D33" s="201" t="e">
        <f t="shared" si="8"/>
        <v>#DIV/0!</v>
      </c>
      <c r="E33" s="954" t="e">
        <f t="shared" si="9"/>
        <v>#DIV/0!</v>
      </c>
      <c r="F33" s="1290">
        <v>14</v>
      </c>
      <c r="G33" s="1710"/>
      <c r="H33" s="955">
        <f t="shared" si="10"/>
        <v>0</v>
      </c>
      <c r="I33" s="955">
        <f t="shared" si="5"/>
        <v>0</v>
      </c>
      <c r="J33" s="955">
        <f t="shared" si="5"/>
        <v>0</v>
      </c>
      <c r="K33" s="1718">
        <f t="shared" si="5"/>
        <v>0</v>
      </c>
      <c r="L33" s="2066"/>
      <c r="M33" s="2065"/>
      <c r="N33" s="2066"/>
      <c r="O33" s="2065"/>
      <c r="P33" s="2066"/>
      <c r="Q33" s="2065"/>
      <c r="R33" s="2066"/>
      <c r="S33" s="2065"/>
      <c r="T33" s="2066"/>
      <c r="U33" s="2065"/>
      <c r="V33" s="1962">
        <f t="array" ref="V33">SUM(($L33:$U33)*($L$12:$U$12=V$12))</f>
        <v>0</v>
      </c>
      <c r="W33" s="1725">
        <f t="array" ref="W33">SUM(($L33:$U33)*($L$12:$U$12=W$12))</f>
        <v>0</v>
      </c>
      <c r="X33" s="1725">
        <f t="array" ref="X33">SUM(($L33:$U33)*($L$12:$U$12=X$12))</f>
        <v>0</v>
      </c>
      <c r="Y33" s="1725">
        <f t="array" ref="Y33">SUM(($L33:$U33)*($L$12:$U$12=Y$12))</f>
        <v>0</v>
      </c>
      <c r="Z33" s="1728">
        <f t="array" ref="Z33">SUM(($L33:$U33)*($L$12:$U$12=Z$12))</f>
        <v>0</v>
      </c>
      <c r="AA33" s="1725" t="e">
        <f t="shared" si="11"/>
        <v>#DIV/0!</v>
      </c>
      <c r="AB33" s="1725" t="e">
        <f t="shared" si="12"/>
        <v>#DIV/0!</v>
      </c>
      <c r="AC33" s="1725" t="e">
        <f t="shared" si="13"/>
        <v>#DIV/0!</v>
      </c>
      <c r="AD33" s="1954" t="e">
        <f t="shared" si="14"/>
        <v>#DIV/0!</v>
      </c>
      <c r="AE33" s="1952">
        <f t="shared" si="15"/>
        <v>0</v>
      </c>
      <c r="AF33" s="722" t="e">
        <f t="shared" si="21"/>
        <v>#DIV/0!</v>
      </c>
      <c r="AG33" s="722" t="e">
        <f t="shared" si="22"/>
        <v>#DIV/0!</v>
      </c>
      <c r="AH33" s="722" t="e">
        <f t="shared" si="23"/>
        <v>#DIV/0!</v>
      </c>
      <c r="AI33" s="722" t="e">
        <f t="shared" si="24"/>
        <v>#DIV/0!</v>
      </c>
      <c r="AJ33" s="954" t="e">
        <f t="shared" si="20"/>
        <v>#DIV/0!</v>
      </c>
      <c r="AK33" s="954"/>
      <c r="AL33" s="954"/>
      <c r="AM33" s="954"/>
      <c r="AN33" s="954"/>
      <c r="AO33" s="963"/>
    </row>
    <row r="34" spans="1:41" x14ac:dyDescent="0.2">
      <c r="A34" s="551" t="str">
        <f>IF(LEN(КАФЕДРА!A34)&gt;2,КАФЕДРА!A34,"")</f>
        <v>Урологии и андрологии с курсом ДПО</v>
      </c>
      <c r="B34" s="442" t="str">
        <f>КАФЕДРА!$D34</f>
        <v>КМЕДИЦИНЫ</v>
      </c>
      <c r="C34" s="764">
        <f>IF(LEN(Кадры!$A34)&gt;2,Кадры!$E34,0)</f>
        <v>0</v>
      </c>
      <c r="D34" s="201" t="e">
        <f t="shared" si="8"/>
        <v>#DIV/0!</v>
      </c>
      <c r="E34" s="954" t="e">
        <f t="shared" si="9"/>
        <v>#DIV/0!</v>
      </c>
      <c r="F34" s="1290">
        <v>14</v>
      </c>
      <c r="G34" s="1710"/>
      <c r="H34" s="955">
        <f t="shared" si="10"/>
        <v>0</v>
      </c>
      <c r="I34" s="955">
        <f t="shared" si="5"/>
        <v>0</v>
      </c>
      <c r="J34" s="955">
        <f t="shared" si="5"/>
        <v>0</v>
      </c>
      <c r="K34" s="1718">
        <f t="shared" si="5"/>
        <v>0</v>
      </c>
      <c r="L34" s="2066"/>
      <c r="M34" s="2065"/>
      <c r="N34" s="2066"/>
      <c r="O34" s="2065"/>
      <c r="P34" s="2066"/>
      <c r="Q34" s="2065"/>
      <c r="R34" s="2066"/>
      <c r="S34" s="2065"/>
      <c r="T34" s="2066"/>
      <c r="U34" s="2065"/>
      <c r="V34" s="1962">
        <f t="array" ref="V34">SUM(($L34:$U34)*($L$12:$U$12=V$12))</f>
        <v>0</v>
      </c>
      <c r="W34" s="1725">
        <f t="array" ref="W34">SUM(($L34:$U34)*($L$12:$U$12=W$12))</f>
        <v>0</v>
      </c>
      <c r="X34" s="1725">
        <f t="array" ref="X34">SUM(($L34:$U34)*($L$12:$U$12=X$12))</f>
        <v>0</v>
      </c>
      <c r="Y34" s="1725">
        <f t="array" ref="Y34">SUM(($L34:$U34)*($L$12:$U$12=Y$12))</f>
        <v>0</v>
      </c>
      <c r="Z34" s="1728">
        <f t="array" ref="Z34">SUM(($L34:$U34)*($L$12:$U$12=Z$12))</f>
        <v>0</v>
      </c>
      <c r="AA34" s="1725" t="e">
        <f t="shared" si="11"/>
        <v>#DIV/0!</v>
      </c>
      <c r="AB34" s="1725" t="e">
        <f t="shared" si="12"/>
        <v>#DIV/0!</v>
      </c>
      <c r="AC34" s="1725" t="e">
        <f t="shared" si="13"/>
        <v>#DIV/0!</v>
      </c>
      <c r="AD34" s="1954" t="e">
        <f t="shared" si="14"/>
        <v>#DIV/0!</v>
      </c>
      <c r="AE34" s="1952">
        <f t="shared" si="15"/>
        <v>0</v>
      </c>
      <c r="AF34" s="722" t="e">
        <f t="shared" si="21"/>
        <v>#DIV/0!</v>
      </c>
      <c r="AG34" s="722" t="e">
        <f t="shared" si="22"/>
        <v>#DIV/0!</v>
      </c>
      <c r="AH34" s="722" t="e">
        <f t="shared" si="23"/>
        <v>#DIV/0!</v>
      </c>
      <c r="AI34" s="722" t="e">
        <f t="shared" si="24"/>
        <v>#DIV/0!</v>
      </c>
      <c r="AJ34" s="954" t="e">
        <f t="shared" si="20"/>
        <v>#DIV/0!</v>
      </c>
      <c r="AK34" s="954"/>
      <c r="AL34" s="954"/>
      <c r="AM34" s="954"/>
      <c r="AN34" s="954"/>
      <c r="AO34" s="963"/>
    </row>
    <row r="35" spans="1:41" x14ac:dyDescent="0.2">
      <c r="A35" s="551" t="str">
        <f>IF(LEN(КАФЕДРА!A35)&gt;2,КАФЕДРА!A35,"")</f>
        <v>Факультетской терапии и профессиональных болезней</v>
      </c>
      <c r="B35" s="442" t="str">
        <f>КАФЕДРА!$D35</f>
        <v>КМЕДИЦИНЫ</v>
      </c>
      <c r="C35" s="764">
        <f>IF(LEN(Кадры!$A35)&gt;2,Кадры!$E35,0)</f>
        <v>0</v>
      </c>
      <c r="D35" s="201" t="e">
        <f t="shared" si="8"/>
        <v>#DIV/0!</v>
      </c>
      <c r="E35" s="954" t="e">
        <f t="shared" si="9"/>
        <v>#DIV/0!</v>
      </c>
      <c r="F35" s="1290">
        <v>14</v>
      </c>
      <c r="G35" s="1710"/>
      <c r="H35" s="955">
        <f t="shared" si="10"/>
        <v>0</v>
      </c>
      <c r="I35" s="955">
        <f t="shared" si="5"/>
        <v>0</v>
      </c>
      <c r="J35" s="955">
        <f t="shared" si="5"/>
        <v>0</v>
      </c>
      <c r="K35" s="1718">
        <f t="shared" si="5"/>
        <v>0</v>
      </c>
      <c r="L35" s="2066"/>
      <c r="M35" s="2065"/>
      <c r="N35" s="2066"/>
      <c r="O35" s="2065"/>
      <c r="P35" s="2066"/>
      <c r="Q35" s="2065"/>
      <c r="R35" s="2066"/>
      <c r="S35" s="2065"/>
      <c r="T35" s="2066"/>
      <c r="U35" s="2065"/>
      <c r="V35" s="1962">
        <f t="array" ref="V35">SUM(($L35:$U35)*($L$12:$U$12=V$12))</f>
        <v>0</v>
      </c>
      <c r="W35" s="1725">
        <f t="array" ref="W35">SUM(($L35:$U35)*($L$12:$U$12=W$12))</f>
        <v>0</v>
      </c>
      <c r="X35" s="1725">
        <f t="array" ref="X35">SUM(($L35:$U35)*($L$12:$U$12=X$12))</f>
        <v>0</v>
      </c>
      <c r="Y35" s="1725">
        <f t="array" ref="Y35">SUM(($L35:$U35)*($L$12:$U$12=Y$12))</f>
        <v>0</v>
      </c>
      <c r="Z35" s="1728">
        <f t="array" ref="Z35">SUM(($L35:$U35)*($L$12:$U$12=Z$12))</f>
        <v>0</v>
      </c>
      <c r="AA35" s="1725" t="e">
        <f t="shared" si="11"/>
        <v>#DIV/0!</v>
      </c>
      <c r="AB35" s="1725" t="e">
        <f t="shared" si="12"/>
        <v>#DIV/0!</v>
      </c>
      <c r="AC35" s="1725" t="e">
        <f t="shared" si="13"/>
        <v>#DIV/0!</v>
      </c>
      <c r="AD35" s="1954" t="e">
        <f t="shared" si="14"/>
        <v>#DIV/0!</v>
      </c>
      <c r="AE35" s="1952">
        <f t="shared" si="15"/>
        <v>0</v>
      </c>
      <c r="AF35" s="722" t="e">
        <f t="shared" si="21"/>
        <v>#DIV/0!</v>
      </c>
      <c r="AG35" s="722" t="e">
        <f t="shared" si="22"/>
        <v>#DIV/0!</v>
      </c>
      <c r="AH35" s="722" t="e">
        <f t="shared" si="23"/>
        <v>#DIV/0!</v>
      </c>
      <c r="AI35" s="722" t="e">
        <f t="shared" si="24"/>
        <v>#DIV/0!</v>
      </c>
      <c r="AJ35" s="954" t="e">
        <f t="shared" si="20"/>
        <v>#DIV/0!</v>
      </c>
      <c r="AK35" s="954"/>
      <c r="AL35" s="954"/>
      <c r="AM35" s="954"/>
      <c r="AN35" s="954"/>
      <c r="AO35" s="963"/>
    </row>
    <row r="36" spans="1:41" ht="15" thickBot="1" x14ac:dyDescent="0.25">
      <c r="A36" s="553" t="str">
        <f>IF(LEN(КАФЕДРА!A36)&gt;2,КАФЕДРА!A36,"")</f>
        <v>Факультетской хирургии имени профессора И.И. Неймарка с курсом ДПО</v>
      </c>
      <c r="B36" s="727" t="str">
        <f>КАФЕДРА!$D36</f>
        <v>КМЕДИЦИНЫ</v>
      </c>
      <c r="C36" s="928">
        <f>IF(LEN(Кадры!$A36)&gt;2,Кадры!$E36,0)</f>
        <v>0</v>
      </c>
      <c r="D36" s="1965" t="e">
        <f t="shared" si="8"/>
        <v>#DIV/0!</v>
      </c>
      <c r="E36" s="1955" t="e">
        <f t="shared" si="9"/>
        <v>#DIV/0!</v>
      </c>
      <c r="F36" s="1296">
        <v>14</v>
      </c>
      <c r="G36" s="1711"/>
      <c r="H36" s="956">
        <f t="shared" si="10"/>
        <v>0</v>
      </c>
      <c r="I36" s="956">
        <f t="shared" si="10"/>
        <v>0</v>
      </c>
      <c r="J36" s="956">
        <f t="shared" si="10"/>
        <v>0</v>
      </c>
      <c r="K36" s="1719">
        <f t="shared" si="10"/>
        <v>0</v>
      </c>
      <c r="L36" s="2069"/>
      <c r="M36" s="2070"/>
      <c r="N36" s="2069"/>
      <c r="O36" s="2070"/>
      <c r="P36" s="2069"/>
      <c r="Q36" s="2070"/>
      <c r="R36" s="2069"/>
      <c r="S36" s="2070"/>
      <c r="T36" s="2069"/>
      <c r="U36" s="2070"/>
      <c r="V36" s="1956">
        <f t="array" ref="V36">SUM(($L36:$U36)*($L$12:$U$12=V$12))</f>
        <v>0</v>
      </c>
      <c r="W36" s="1956">
        <f t="array" ref="W36">SUM(($L36:$U36)*($L$12:$U$12=W$12))</f>
        <v>0</v>
      </c>
      <c r="X36" s="1956">
        <f t="array" ref="X36">SUM(($L36:$U36)*($L$12:$U$12=X$12))</f>
        <v>0</v>
      </c>
      <c r="Y36" s="1956">
        <f t="array" ref="Y36">SUM(($L36:$U36)*($L$12:$U$12=Y$12))</f>
        <v>0</v>
      </c>
      <c r="Z36" s="1729">
        <f t="array" ref="Z36">SUM(($L36:$U36)*($L$12:$U$12=Z$12))</f>
        <v>0</v>
      </c>
      <c r="AA36" s="1956" t="e">
        <f t="shared" si="11"/>
        <v>#DIV/0!</v>
      </c>
      <c r="AB36" s="1956" t="e">
        <f t="shared" si="12"/>
        <v>#DIV/0!</v>
      </c>
      <c r="AC36" s="1956" t="e">
        <f t="shared" si="13"/>
        <v>#DIV/0!</v>
      </c>
      <c r="AD36" s="1957" t="e">
        <f t="shared" si="14"/>
        <v>#DIV/0!</v>
      </c>
      <c r="AE36" s="1958">
        <f t="shared" si="15"/>
        <v>0</v>
      </c>
      <c r="AF36" s="1959" t="e">
        <f t="shared" si="21"/>
        <v>#DIV/0!</v>
      </c>
      <c r="AG36" s="1959" t="e">
        <f t="shared" si="22"/>
        <v>#DIV/0!</v>
      </c>
      <c r="AH36" s="1959" t="e">
        <f t="shared" si="23"/>
        <v>#DIV/0!</v>
      </c>
      <c r="AI36" s="1959" t="e">
        <f t="shared" si="24"/>
        <v>#DIV/0!</v>
      </c>
      <c r="AJ36" s="954" t="e">
        <f t="shared" si="20"/>
        <v>#DIV/0!</v>
      </c>
      <c r="AK36" s="954"/>
      <c r="AL36" s="954"/>
      <c r="AM36" s="954"/>
      <c r="AN36" s="954"/>
      <c r="AO36" s="963"/>
    </row>
    <row r="37" spans="1:41" x14ac:dyDescent="0.2">
      <c r="A37" s="582" t="str">
        <f>IF(LEN(КАФЕДРА!A37)&gt;2,КАФЕДРА!A37,"")</f>
        <v>Госпитальной педиатрии с курсом ДПО</v>
      </c>
      <c r="B37" s="785" t="str">
        <f>КАФЕДРА!$D37</f>
        <v>ПЕДИАТРИИ</v>
      </c>
      <c r="C37" s="783">
        <f>IF(LEN(Кадры!$A37)&gt;2,Кадры!$E37,0)</f>
        <v>0</v>
      </c>
      <c r="D37" s="1963" t="e">
        <f t="shared" si="8"/>
        <v>#DIV/0!</v>
      </c>
      <c r="E37" s="1964" t="e">
        <f t="shared" si="9"/>
        <v>#DIV/0!</v>
      </c>
      <c r="F37" s="1290">
        <v>14</v>
      </c>
      <c r="G37" s="1712"/>
      <c r="H37" s="957">
        <f>H$7/10*$C37</f>
        <v>0</v>
      </c>
      <c r="I37" s="957">
        <f t="shared" si="5"/>
        <v>0</v>
      </c>
      <c r="J37" s="957">
        <f t="shared" si="5"/>
        <v>0</v>
      </c>
      <c r="K37" s="1720">
        <f t="shared" si="5"/>
        <v>0</v>
      </c>
      <c r="L37" s="2067"/>
      <c r="M37" s="2068"/>
      <c r="N37" s="2067"/>
      <c r="O37" s="2068"/>
      <c r="P37" s="2067"/>
      <c r="Q37" s="2068"/>
      <c r="R37" s="2067"/>
      <c r="S37" s="2068"/>
      <c r="T37" s="2067"/>
      <c r="U37" s="2068"/>
      <c r="V37" s="1962">
        <f t="array" ref="V37">SUM(($L37:$U37)*($L$12:$U$12=V$12))</f>
        <v>0</v>
      </c>
      <c r="W37" s="1725">
        <f t="array" ref="W37">SUM(($L37:$U37)*($L$12:$U$12=W$12))</f>
        <v>0</v>
      </c>
      <c r="X37" s="1725">
        <f t="array" ref="X37">SUM(($L37:$U37)*($L$12:$U$12=X$12))</f>
        <v>0</v>
      </c>
      <c r="Y37" s="1725">
        <f t="array" ref="Y37">SUM(($L37:$U37)*($L$12:$U$12=Y$12))</f>
        <v>0</v>
      </c>
      <c r="Z37" s="1728">
        <f t="array" ref="Z37">SUM(($L37:$U37)*($L$12:$U$12=Z$12))</f>
        <v>0</v>
      </c>
      <c r="AA37" s="1725" t="e">
        <f t="shared" si="11"/>
        <v>#DIV/0!</v>
      </c>
      <c r="AB37" s="1725" t="e">
        <f t="shared" si="12"/>
        <v>#DIV/0!</v>
      </c>
      <c r="AC37" s="1725" t="e">
        <f t="shared" si="13"/>
        <v>#DIV/0!</v>
      </c>
      <c r="AD37" s="1954" t="e">
        <f t="shared" si="14"/>
        <v>#DIV/0!</v>
      </c>
      <c r="AE37" s="1952">
        <f t="shared" si="15"/>
        <v>0</v>
      </c>
      <c r="AF37" s="722" t="e">
        <f t="shared" si="21"/>
        <v>#DIV/0!</v>
      </c>
      <c r="AG37" s="722" t="e">
        <f t="shared" si="22"/>
        <v>#DIV/0!</v>
      </c>
      <c r="AH37" s="722" t="e">
        <f t="shared" si="23"/>
        <v>#DIV/0!</v>
      </c>
      <c r="AI37" s="722" t="e">
        <f t="shared" si="24"/>
        <v>#DIV/0!</v>
      </c>
      <c r="AJ37" s="954" t="e">
        <f t="shared" si="20"/>
        <v>#DIV/0!</v>
      </c>
      <c r="AK37" s="954"/>
      <c r="AL37" s="954"/>
      <c r="AM37" s="954"/>
      <c r="AN37" s="954"/>
      <c r="AO37" s="963"/>
    </row>
    <row r="38" spans="1:41" x14ac:dyDescent="0.2">
      <c r="A38" s="551" t="str">
        <f>IF(LEN(КАФЕДРА!A38)&gt;2,КАФЕДРА!A38,"")</f>
        <v>Лучевой диагностики и эндоскопии с курсом ДПО</v>
      </c>
      <c r="B38" s="786" t="str">
        <f>КАФЕДРА!$D38</f>
        <v>ПЕДИАТРИИ</v>
      </c>
      <c r="C38" s="764">
        <f>IF(LEN(Кадры!$A38)&gt;2,Кадры!$E38,0)</f>
        <v>0</v>
      </c>
      <c r="D38" s="201" t="e">
        <f t="shared" si="8"/>
        <v>#DIV/0!</v>
      </c>
      <c r="E38" s="954" t="e">
        <f t="shared" si="9"/>
        <v>#DIV/0!</v>
      </c>
      <c r="F38" s="1290">
        <v>14</v>
      </c>
      <c r="G38" s="1710"/>
      <c r="H38" s="955">
        <f t="shared" si="10"/>
        <v>0</v>
      </c>
      <c r="I38" s="955">
        <f t="shared" si="10"/>
        <v>0</v>
      </c>
      <c r="J38" s="955">
        <f t="shared" si="10"/>
        <v>0</v>
      </c>
      <c r="K38" s="1718">
        <f t="shared" si="10"/>
        <v>0</v>
      </c>
      <c r="L38" s="2066"/>
      <c r="M38" s="2065"/>
      <c r="N38" s="2066"/>
      <c r="O38" s="2065"/>
      <c r="P38" s="2066"/>
      <c r="Q38" s="2065"/>
      <c r="R38" s="2066"/>
      <c r="S38" s="2065"/>
      <c r="T38" s="2066"/>
      <c r="U38" s="2065"/>
      <c r="V38" s="1962">
        <f t="array" ref="V38">SUM(($L38:$U38)*($L$12:$U$12=V$12))</f>
        <v>0</v>
      </c>
      <c r="W38" s="1725">
        <f t="array" ref="W38">SUM(($L38:$U38)*($L$12:$U$12=W$12))</f>
        <v>0</v>
      </c>
      <c r="X38" s="1725">
        <f t="array" ref="X38">SUM(($L38:$U38)*($L$12:$U$12=X$12))</f>
        <v>0</v>
      </c>
      <c r="Y38" s="1725">
        <f t="array" ref="Y38">SUM(($L38:$U38)*($L$12:$U$12=Y$12))</f>
        <v>0</v>
      </c>
      <c r="Z38" s="1728">
        <f t="array" ref="Z38">SUM(($L38:$U38)*($L$12:$U$12=Z$12))</f>
        <v>0</v>
      </c>
      <c r="AA38" s="1725" t="e">
        <f t="shared" si="11"/>
        <v>#DIV/0!</v>
      </c>
      <c r="AB38" s="1725" t="e">
        <f t="shared" si="12"/>
        <v>#DIV/0!</v>
      </c>
      <c r="AC38" s="1725" t="e">
        <f t="shared" si="13"/>
        <v>#DIV/0!</v>
      </c>
      <c r="AD38" s="1954" t="e">
        <f t="shared" si="14"/>
        <v>#DIV/0!</v>
      </c>
      <c r="AE38" s="1952">
        <f t="shared" si="15"/>
        <v>0</v>
      </c>
      <c r="AF38" s="722" t="e">
        <f t="shared" si="21"/>
        <v>#DIV/0!</v>
      </c>
      <c r="AG38" s="722" t="e">
        <f t="shared" si="22"/>
        <v>#DIV/0!</v>
      </c>
      <c r="AH38" s="722" t="e">
        <f t="shared" si="23"/>
        <v>#DIV/0!</v>
      </c>
      <c r="AI38" s="722" t="e">
        <f t="shared" si="24"/>
        <v>#DIV/0!</v>
      </c>
      <c r="AJ38" s="954"/>
      <c r="AK38" s="954"/>
      <c r="AL38" s="954"/>
      <c r="AM38" s="954"/>
      <c r="AN38" s="954"/>
      <c r="AO38" s="963"/>
    </row>
    <row r="39" spans="1:41" x14ac:dyDescent="0.2">
      <c r="A39" s="551" t="str">
        <f>IF(LEN(КАФЕДРА!A39)&gt;2,КАФЕДРА!A39,"")</f>
        <v>Неонатологии и детской анестезиологии с курсом ДПО</v>
      </c>
      <c r="B39" s="786" t="str">
        <f>КАФЕДРА!$D39</f>
        <v>ПЕДИАТРИИ</v>
      </c>
      <c r="C39" s="764">
        <f>IF(LEN(Кадры!$A39)&gt;2,Кадры!$E39,0)</f>
        <v>0</v>
      </c>
      <c r="D39" s="201" t="e">
        <f t="shared" si="8"/>
        <v>#DIV/0!</v>
      </c>
      <c r="E39" s="954" t="e">
        <f t="shared" si="9"/>
        <v>#DIV/0!</v>
      </c>
      <c r="F39" s="1290">
        <v>14</v>
      </c>
      <c r="G39" s="1710"/>
      <c r="H39" s="955">
        <f t="shared" ref="H39:K54" si="25">H$7/10*$C39</f>
        <v>0</v>
      </c>
      <c r="I39" s="955">
        <f t="shared" si="25"/>
        <v>0</v>
      </c>
      <c r="J39" s="955">
        <f t="shared" si="25"/>
        <v>0</v>
      </c>
      <c r="K39" s="1718">
        <f t="shared" si="25"/>
        <v>0</v>
      </c>
      <c r="L39" s="2066"/>
      <c r="M39" s="2065"/>
      <c r="N39" s="2066"/>
      <c r="O39" s="2065"/>
      <c r="P39" s="2066"/>
      <c r="Q39" s="2065"/>
      <c r="R39" s="2066"/>
      <c r="S39" s="2065"/>
      <c r="T39" s="2066"/>
      <c r="U39" s="2065"/>
      <c r="V39" s="1962">
        <f t="array" ref="V39">SUM(($L39:$U39)*($L$12:$U$12=V$12))</f>
        <v>0</v>
      </c>
      <c r="W39" s="1725">
        <f t="array" ref="W39">SUM(($L39:$U39)*($L$12:$U$12=W$12))</f>
        <v>0</v>
      </c>
      <c r="X39" s="1725">
        <f t="array" ref="X39">SUM(($L39:$U39)*($L$12:$U$12=X$12))</f>
        <v>0</v>
      </c>
      <c r="Y39" s="1725">
        <f t="array" ref="Y39">SUM(($L39:$U39)*($L$12:$U$12=Y$12))</f>
        <v>0</v>
      </c>
      <c r="Z39" s="1728">
        <f t="array" ref="Z39">SUM(($L39:$U39)*($L$12:$U$12=Z$12))</f>
        <v>0</v>
      </c>
      <c r="AA39" s="1725" t="e">
        <f t="shared" si="11"/>
        <v>#DIV/0!</v>
      </c>
      <c r="AB39" s="1725" t="e">
        <f t="shared" si="12"/>
        <v>#DIV/0!</v>
      </c>
      <c r="AC39" s="1725" t="e">
        <f t="shared" si="13"/>
        <v>#DIV/0!</v>
      </c>
      <c r="AD39" s="1954" t="e">
        <f t="shared" si="14"/>
        <v>#DIV/0!</v>
      </c>
      <c r="AE39" s="1952">
        <f t="shared" si="15"/>
        <v>0</v>
      </c>
      <c r="AF39" s="722" t="e">
        <f t="shared" si="21"/>
        <v>#DIV/0!</v>
      </c>
      <c r="AG39" s="722" t="e">
        <f t="shared" si="22"/>
        <v>#DIV/0!</v>
      </c>
      <c r="AH39" s="722" t="e">
        <f t="shared" si="23"/>
        <v>#DIV/0!</v>
      </c>
      <c r="AI39" s="722" t="e">
        <f t="shared" si="24"/>
        <v>#DIV/0!</v>
      </c>
      <c r="AJ39" s="954"/>
      <c r="AK39" s="954"/>
      <c r="AL39" s="954"/>
      <c r="AM39" s="954"/>
      <c r="AN39" s="954"/>
      <c r="AO39" s="963"/>
    </row>
    <row r="40" spans="1:41" x14ac:dyDescent="0.2">
      <c r="A40" s="551" t="str">
        <f>IF(LEN(КАФЕДРА!A40)&gt;2,КАФЕДРА!A40,"")</f>
        <v>Онкологии, лучевой терапии с курсом ДПО</v>
      </c>
      <c r="B40" s="786" t="str">
        <f>КАФЕДРА!$D40</f>
        <v>ПЕДИАТРИИ</v>
      </c>
      <c r="C40" s="764">
        <f>IF(LEN(Кадры!$A40)&gt;2,Кадры!$E40,0)</f>
        <v>0</v>
      </c>
      <c r="D40" s="201" t="e">
        <f t="shared" si="8"/>
        <v>#DIV/0!</v>
      </c>
      <c r="E40" s="954" t="e">
        <f t="shared" si="9"/>
        <v>#DIV/0!</v>
      </c>
      <c r="F40" s="1290">
        <v>14</v>
      </c>
      <c r="G40" s="1710"/>
      <c r="H40" s="955">
        <f t="shared" si="25"/>
        <v>0</v>
      </c>
      <c r="I40" s="955">
        <f t="shared" si="25"/>
        <v>0</v>
      </c>
      <c r="J40" s="955">
        <f t="shared" si="25"/>
        <v>0</v>
      </c>
      <c r="K40" s="1718">
        <f t="shared" si="25"/>
        <v>0</v>
      </c>
      <c r="L40" s="2066"/>
      <c r="M40" s="2065"/>
      <c r="N40" s="2066"/>
      <c r="O40" s="2065"/>
      <c r="P40" s="2066"/>
      <c r="Q40" s="2065"/>
      <c r="R40" s="2066"/>
      <c r="S40" s="2065"/>
      <c r="T40" s="2066"/>
      <c r="U40" s="2065"/>
      <c r="V40" s="1962">
        <f t="array" ref="V40">SUM(($L40:$U40)*($L$12:$U$12=V$12))</f>
        <v>0</v>
      </c>
      <c r="W40" s="1725">
        <f t="array" ref="W40">SUM(($L40:$U40)*($L$12:$U$12=W$12))</f>
        <v>0</v>
      </c>
      <c r="X40" s="1725">
        <f t="array" ref="X40">SUM(($L40:$U40)*($L$12:$U$12=X$12))</f>
        <v>0</v>
      </c>
      <c r="Y40" s="1725">
        <f t="array" ref="Y40">SUM(($L40:$U40)*($L$12:$U$12=Y$12))</f>
        <v>0</v>
      </c>
      <c r="Z40" s="1728">
        <f t="array" ref="Z40">SUM(($L40:$U40)*($L$12:$U$12=Z$12))</f>
        <v>0</v>
      </c>
      <c r="AA40" s="1725" t="e">
        <f t="shared" si="11"/>
        <v>#DIV/0!</v>
      </c>
      <c r="AB40" s="1725" t="e">
        <f t="shared" si="12"/>
        <v>#DIV/0!</v>
      </c>
      <c r="AC40" s="1725" t="e">
        <f t="shared" si="13"/>
        <v>#DIV/0!</v>
      </c>
      <c r="AD40" s="1954" t="e">
        <f t="shared" si="14"/>
        <v>#DIV/0!</v>
      </c>
      <c r="AE40" s="1952">
        <f t="shared" si="15"/>
        <v>0</v>
      </c>
      <c r="AF40" s="722" t="e">
        <f t="shared" si="21"/>
        <v>#DIV/0!</v>
      </c>
      <c r="AG40" s="722" t="e">
        <f t="shared" si="22"/>
        <v>#DIV/0!</v>
      </c>
      <c r="AH40" s="722" t="e">
        <f t="shared" si="23"/>
        <v>#DIV/0!</v>
      </c>
      <c r="AI40" s="722" t="e">
        <f t="shared" si="24"/>
        <v>#DIV/0!</v>
      </c>
      <c r="AJ40" s="954"/>
      <c r="AK40" s="954"/>
      <c r="AL40" s="954"/>
      <c r="AM40" s="954"/>
      <c r="AN40" s="954"/>
      <c r="AO40" s="963"/>
    </row>
    <row r="41" spans="1:41" x14ac:dyDescent="0.2">
      <c r="A41" s="551" t="str">
        <f>IF(LEN(КАФЕДРА!A41)&gt;2,КАФЕДРА!A41,"")</f>
        <v>Офтальмологии с курсом ДПО</v>
      </c>
      <c r="B41" s="786" t="str">
        <f>КАФЕДРА!$D41</f>
        <v>ПЕДИАТРИИ</v>
      </c>
      <c r="C41" s="764">
        <f>IF(LEN(Кадры!$A41)&gt;2,Кадры!$E41,0)</f>
        <v>0</v>
      </c>
      <c r="D41" s="201" t="e">
        <f t="shared" si="8"/>
        <v>#DIV/0!</v>
      </c>
      <c r="E41" s="954" t="e">
        <f t="shared" si="9"/>
        <v>#DIV/0!</v>
      </c>
      <c r="F41" s="1290">
        <v>14</v>
      </c>
      <c r="G41" s="1710"/>
      <c r="H41" s="955">
        <f t="shared" si="25"/>
        <v>0</v>
      </c>
      <c r="I41" s="955">
        <f t="shared" si="25"/>
        <v>0</v>
      </c>
      <c r="J41" s="955">
        <f t="shared" si="25"/>
        <v>0</v>
      </c>
      <c r="K41" s="1718">
        <f t="shared" si="25"/>
        <v>0</v>
      </c>
      <c r="L41" s="2066"/>
      <c r="M41" s="2065"/>
      <c r="N41" s="2066"/>
      <c r="O41" s="2065"/>
      <c r="P41" s="2066"/>
      <c r="Q41" s="2065"/>
      <c r="R41" s="2066"/>
      <c r="S41" s="2065"/>
      <c r="T41" s="2066"/>
      <c r="U41" s="2065"/>
      <c r="V41" s="1962">
        <f t="array" ref="V41">SUM(($L41:$U41)*($L$12:$U$12=V$12))</f>
        <v>0</v>
      </c>
      <c r="W41" s="1725">
        <f t="array" ref="W41">SUM(($L41:$U41)*($L$12:$U$12=W$12))</f>
        <v>0</v>
      </c>
      <c r="X41" s="1725">
        <f t="array" ref="X41">SUM(($L41:$U41)*($L$12:$U$12=X$12))</f>
        <v>0</v>
      </c>
      <c r="Y41" s="1725">
        <f t="array" ref="Y41">SUM(($L41:$U41)*($L$12:$U$12=Y$12))</f>
        <v>0</v>
      </c>
      <c r="Z41" s="1728">
        <f t="array" ref="Z41">SUM(($L41:$U41)*($L$12:$U$12=Z$12))</f>
        <v>0</v>
      </c>
      <c r="AA41" s="1725" t="e">
        <f t="shared" si="11"/>
        <v>#DIV/0!</v>
      </c>
      <c r="AB41" s="1725" t="e">
        <f t="shared" si="12"/>
        <v>#DIV/0!</v>
      </c>
      <c r="AC41" s="1725" t="e">
        <f t="shared" si="13"/>
        <v>#DIV/0!</v>
      </c>
      <c r="AD41" s="1954" t="e">
        <f t="shared" si="14"/>
        <v>#DIV/0!</v>
      </c>
      <c r="AE41" s="1952">
        <f t="shared" si="15"/>
        <v>0</v>
      </c>
      <c r="AF41" s="722" t="e">
        <f t="shared" si="21"/>
        <v>#DIV/0!</v>
      </c>
      <c r="AG41" s="722" t="e">
        <f t="shared" si="22"/>
        <v>#DIV/0!</v>
      </c>
      <c r="AH41" s="722" t="e">
        <f t="shared" si="23"/>
        <v>#DIV/0!</v>
      </c>
      <c r="AI41" s="722" t="e">
        <f t="shared" si="24"/>
        <v>#DIV/0!</v>
      </c>
      <c r="AJ41" s="954"/>
      <c r="AK41" s="954"/>
      <c r="AL41" s="954"/>
      <c r="AM41" s="954"/>
      <c r="AN41" s="954"/>
      <c r="AO41" s="963"/>
    </row>
    <row r="42" spans="1:41" x14ac:dyDescent="0.2">
      <c r="A42" s="551" t="str">
        <f>IF(LEN(КАФЕДРА!A42)&gt;2,КАФЕДРА!A42,"")</f>
        <v>Патологической физиологии</v>
      </c>
      <c r="B42" s="786" t="str">
        <f>КАФЕДРА!$D42</f>
        <v>ПЕДИАТРИИ</v>
      </c>
      <c r="C42" s="764">
        <f>IF(LEN(Кадры!$A42)&gt;2,Кадры!$E42,0)</f>
        <v>0</v>
      </c>
      <c r="D42" s="201" t="e">
        <f t="shared" si="8"/>
        <v>#DIV/0!</v>
      </c>
      <c r="E42" s="954" t="e">
        <f t="shared" si="9"/>
        <v>#DIV/0!</v>
      </c>
      <c r="F42" s="1290">
        <v>14</v>
      </c>
      <c r="G42" s="1710"/>
      <c r="H42" s="955">
        <f t="shared" si="25"/>
        <v>0</v>
      </c>
      <c r="I42" s="955">
        <f t="shared" si="25"/>
        <v>0</v>
      </c>
      <c r="J42" s="955">
        <f t="shared" si="25"/>
        <v>0</v>
      </c>
      <c r="K42" s="1718">
        <f t="shared" si="25"/>
        <v>0</v>
      </c>
      <c r="L42" s="2066"/>
      <c r="M42" s="2065"/>
      <c r="N42" s="2066"/>
      <c r="O42" s="2065"/>
      <c r="P42" s="2066"/>
      <c r="Q42" s="2065"/>
      <c r="R42" s="2066"/>
      <c r="S42" s="2065"/>
      <c r="T42" s="2066"/>
      <c r="U42" s="2065"/>
      <c r="V42" s="1962">
        <f t="array" ref="V42">SUM(($L42:$U42)*($L$12:$U$12=V$12))</f>
        <v>0</v>
      </c>
      <c r="W42" s="1725">
        <f t="array" ref="W42">SUM(($L42:$U42)*($L$12:$U$12=W$12))</f>
        <v>0</v>
      </c>
      <c r="X42" s="1725">
        <f t="array" ref="X42">SUM(($L42:$U42)*($L$12:$U$12=X$12))</f>
        <v>0</v>
      </c>
      <c r="Y42" s="1725">
        <f t="array" ref="Y42">SUM(($L42:$U42)*($L$12:$U$12=Y$12))</f>
        <v>0</v>
      </c>
      <c r="Z42" s="1728">
        <f t="array" ref="Z42">SUM(($L42:$U42)*($L$12:$U$12=Z$12))</f>
        <v>0</v>
      </c>
      <c r="AA42" s="1725" t="e">
        <f t="shared" si="11"/>
        <v>#DIV/0!</v>
      </c>
      <c r="AB42" s="1725" t="e">
        <f t="shared" si="12"/>
        <v>#DIV/0!</v>
      </c>
      <c r="AC42" s="1725" t="e">
        <f t="shared" si="13"/>
        <v>#DIV/0!</v>
      </c>
      <c r="AD42" s="1954" t="e">
        <f t="shared" si="14"/>
        <v>#DIV/0!</v>
      </c>
      <c r="AE42" s="1952">
        <f t="shared" si="15"/>
        <v>0</v>
      </c>
      <c r="AF42" s="722" t="e">
        <f t="shared" si="21"/>
        <v>#DIV/0!</v>
      </c>
      <c r="AG42" s="722" t="e">
        <f t="shared" si="22"/>
        <v>#DIV/0!</v>
      </c>
      <c r="AH42" s="722" t="e">
        <f t="shared" si="23"/>
        <v>#DIV/0!</v>
      </c>
      <c r="AI42" s="722" t="e">
        <f t="shared" si="24"/>
        <v>#DIV/0!</v>
      </c>
      <c r="AJ42" s="954"/>
      <c r="AK42" s="954"/>
      <c r="AL42" s="954"/>
      <c r="AM42" s="954"/>
      <c r="AN42" s="954"/>
      <c r="AO42" s="963"/>
    </row>
    <row r="43" spans="1:41" x14ac:dyDescent="0.2">
      <c r="A43" s="551" t="str">
        <f>IF(LEN(КАФЕДРА!A43)&gt;2,КАФЕДРА!A43,"")</f>
        <v>Пропедевтики детских болезней</v>
      </c>
      <c r="B43" s="786" t="str">
        <f>КАФЕДРА!$D43</f>
        <v>ПЕДИАТРИИ</v>
      </c>
      <c r="C43" s="764">
        <f>IF(LEN(Кадры!$A43)&gt;2,Кадры!$E43,0)</f>
        <v>0</v>
      </c>
      <c r="D43" s="201" t="e">
        <f t="shared" si="8"/>
        <v>#DIV/0!</v>
      </c>
      <c r="E43" s="954" t="e">
        <f t="shared" si="9"/>
        <v>#DIV/0!</v>
      </c>
      <c r="F43" s="1290">
        <v>14</v>
      </c>
      <c r="G43" s="1710"/>
      <c r="H43" s="955">
        <f t="shared" si="25"/>
        <v>0</v>
      </c>
      <c r="I43" s="955">
        <f t="shared" si="25"/>
        <v>0</v>
      </c>
      <c r="J43" s="955">
        <f t="shared" si="25"/>
        <v>0</v>
      </c>
      <c r="K43" s="1718">
        <f t="shared" si="25"/>
        <v>0</v>
      </c>
      <c r="L43" s="2066"/>
      <c r="M43" s="2065"/>
      <c r="N43" s="2066"/>
      <c r="O43" s="2065"/>
      <c r="P43" s="2066"/>
      <c r="Q43" s="2065"/>
      <c r="R43" s="2066"/>
      <c r="S43" s="2065"/>
      <c r="T43" s="2066"/>
      <c r="U43" s="2065"/>
      <c r="V43" s="1962">
        <f t="array" ref="V43">SUM(($L43:$U43)*($L$12:$U$12=V$12))</f>
        <v>0</v>
      </c>
      <c r="W43" s="1725">
        <f t="array" ref="W43">SUM(($L43:$U43)*($L$12:$U$12=W$12))</f>
        <v>0</v>
      </c>
      <c r="X43" s="1725">
        <f t="array" ref="X43">SUM(($L43:$U43)*($L$12:$U$12=X$12))</f>
        <v>0</v>
      </c>
      <c r="Y43" s="1725">
        <f t="array" ref="Y43">SUM(($L43:$U43)*($L$12:$U$12=Y$12))</f>
        <v>0</v>
      </c>
      <c r="Z43" s="1728">
        <f t="array" ref="Z43">SUM(($L43:$U43)*($L$12:$U$12=Z$12))</f>
        <v>0</v>
      </c>
      <c r="AA43" s="1725" t="e">
        <f t="shared" si="11"/>
        <v>#DIV/0!</v>
      </c>
      <c r="AB43" s="1725" t="e">
        <f t="shared" si="12"/>
        <v>#DIV/0!</v>
      </c>
      <c r="AC43" s="1725" t="e">
        <f t="shared" si="13"/>
        <v>#DIV/0!</v>
      </c>
      <c r="AD43" s="1954" t="e">
        <f t="shared" si="14"/>
        <v>#DIV/0!</v>
      </c>
      <c r="AE43" s="1952">
        <f t="shared" si="15"/>
        <v>0</v>
      </c>
      <c r="AF43" s="722" t="e">
        <f t="shared" si="21"/>
        <v>#DIV/0!</v>
      </c>
      <c r="AG43" s="722" t="e">
        <f t="shared" si="22"/>
        <v>#DIV/0!</v>
      </c>
      <c r="AH43" s="722" t="e">
        <f t="shared" si="23"/>
        <v>#DIV/0!</v>
      </c>
      <c r="AI43" s="722" t="e">
        <f t="shared" si="24"/>
        <v>#DIV/0!</v>
      </c>
      <c r="AJ43" s="954"/>
      <c r="AK43" s="954"/>
      <c r="AL43" s="954"/>
      <c r="AM43" s="954"/>
      <c r="AN43" s="954"/>
      <c r="AO43" s="963"/>
    </row>
    <row r="44" spans="1:41" x14ac:dyDescent="0.2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786" t="str">
        <f>КАФЕДРА!$D44</f>
        <v>ПЕДИАТРИИ</v>
      </c>
      <c r="C44" s="764">
        <f>IF(LEN(Кадры!$A44)&gt;2,Кадры!$E44,0)</f>
        <v>0</v>
      </c>
      <c r="D44" s="201" t="e">
        <f t="shared" si="8"/>
        <v>#DIV/0!</v>
      </c>
      <c r="E44" s="954" t="e">
        <f t="shared" si="9"/>
        <v>#DIV/0!</v>
      </c>
      <c r="F44" s="1290">
        <v>14</v>
      </c>
      <c r="G44" s="1710"/>
      <c r="H44" s="955">
        <f t="shared" si="25"/>
        <v>0</v>
      </c>
      <c r="I44" s="955">
        <f t="shared" si="25"/>
        <v>0</v>
      </c>
      <c r="J44" s="955">
        <f t="shared" si="25"/>
        <v>0</v>
      </c>
      <c r="K44" s="1718">
        <f t="shared" si="25"/>
        <v>0</v>
      </c>
      <c r="L44" s="2066"/>
      <c r="M44" s="2065"/>
      <c r="N44" s="2066"/>
      <c r="O44" s="2065"/>
      <c r="P44" s="2066"/>
      <c r="Q44" s="2065"/>
      <c r="R44" s="2066"/>
      <c r="S44" s="2065"/>
      <c r="T44" s="2066"/>
      <c r="U44" s="2065"/>
      <c r="V44" s="1962">
        <f t="array" ref="V44">SUM(($L44:$U44)*($L$12:$U$12=V$12))</f>
        <v>0</v>
      </c>
      <c r="W44" s="1725">
        <f t="array" ref="W44">SUM(($L44:$U44)*($L$12:$U$12=W$12))</f>
        <v>0</v>
      </c>
      <c r="X44" s="1725">
        <f t="array" ref="X44">SUM(($L44:$U44)*($L$12:$U$12=X$12))</f>
        <v>0</v>
      </c>
      <c r="Y44" s="1725">
        <f t="array" ref="Y44">SUM(($L44:$U44)*($L$12:$U$12=Y$12))</f>
        <v>0</v>
      </c>
      <c r="Z44" s="1728">
        <f t="array" ref="Z44">SUM(($L44:$U44)*($L$12:$U$12=Z$12))</f>
        <v>0</v>
      </c>
      <c r="AA44" s="1725" t="e">
        <f t="shared" si="11"/>
        <v>#DIV/0!</v>
      </c>
      <c r="AB44" s="1725" t="e">
        <f t="shared" si="12"/>
        <v>#DIV/0!</v>
      </c>
      <c r="AC44" s="1725" t="e">
        <f t="shared" si="13"/>
        <v>#DIV/0!</v>
      </c>
      <c r="AD44" s="1954" t="e">
        <f t="shared" si="14"/>
        <v>#DIV/0!</v>
      </c>
      <c r="AE44" s="1952">
        <f t="shared" si="15"/>
        <v>0</v>
      </c>
      <c r="AF44" s="722" t="e">
        <f t="shared" si="21"/>
        <v>#DIV/0!</v>
      </c>
      <c r="AG44" s="722" t="e">
        <f t="shared" si="22"/>
        <v>#DIV/0!</v>
      </c>
      <c r="AH44" s="722" t="e">
        <f t="shared" si="23"/>
        <v>#DIV/0!</v>
      </c>
      <c r="AI44" s="722" t="e">
        <f t="shared" si="24"/>
        <v>#DIV/0!</v>
      </c>
      <c r="AJ44" s="954"/>
      <c r="AK44" s="954"/>
      <c r="AL44" s="954"/>
      <c r="AM44" s="954"/>
      <c r="AN44" s="954"/>
      <c r="AO44" s="963"/>
    </row>
    <row r="45" spans="1:41" x14ac:dyDescent="0.2">
      <c r="A45" s="551" t="str">
        <f>IF(LEN(КАФЕДРА!A45)&gt;2,КАФЕДРА!A45,"")</f>
        <v>Факультетской педиатрии</v>
      </c>
      <c r="B45" s="786" t="str">
        <f>КАФЕДРА!$D45</f>
        <v>ПЕДИАТРИИ</v>
      </c>
      <c r="C45" s="764">
        <f>IF(LEN(Кадры!$A45)&gt;2,Кадры!$E45,0)</f>
        <v>0</v>
      </c>
      <c r="D45" s="201" t="e">
        <f t="shared" si="8"/>
        <v>#DIV/0!</v>
      </c>
      <c r="E45" s="954" t="e">
        <f t="shared" si="9"/>
        <v>#DIV/0!</v>
      </c>
      <c r="F45" s="1290">
        <v>14</v>
      </c>
      <c r="G45" s="1710"/>
      <c r="H45" s="955">
        <f t="shared" si="25"/>
        <v>0</v>
      </c>
      <c r="I45" s="955">
        <f t="shared" si="25"/>
        <v>0</v>
      </c>
      <c r="J45" s="955">
        <f t="shared" si="25"/>
        <v>0</v>
      </c>
      <c r="K45" s="1718">
        <f t="shared" si="25"/>
        <v>0</v>
      </c>
      <c r="L45" s="2066"/>
      <c r="M45" s="2065"/>
      <c r="N45" s="2066"/>
      <c r="O45" s="2065"/>
      <c r="P45" s="2066"/>
      <c r="Q45" s="2065"/>
      <c r="R45" s="2066"/>
      <c r="S45" s="2065"/>
      <c r="T45" s="2066"/>
      <c r="U45" s="2065"/>
      <c r="V45" s="1962">
        <f t="array" ref="V45">SUM(($L45:$U45)*($L$12:$U$12=V$12))</f>
        <v>0</v>
      </c>
      <c r="W45" s="1725">
        <f t="array" ref="W45">SUM(($L45:$U45)*($L$12:$U$12=W$12))</f>
        <v>0</v>
      </c>
      <c r="X45" s="1725">
        <f t="array" ref="X45">SUM(($L45:$U45)*($L$12:$U$12=X$12))</f>
        <v>0</v>
      </c>
      <c r="Y45" s="1725">
        <f t="array" ref="Y45">SUM(($L45:$U45)*($L$12:$U$12=Y$12))</f>
        <v>0</v>
      </c>
      <c r="Z45" s="1728">
        <f t="array" ref="Z45">SUM(($L45:$U45)*($L$12:$U$12=Z$12))</f>
        <v>0</v>
      </c>
      <c r="AA45" s="1725" t="e">
        <f t="shared" si="11"/>
        <v>#DIV/0!</v>
      </c>
      <c r="AB45" s="1725" t="e">
        <f t="shared" si="12"/>
        <v>#DIV/0!</v>
      </c>
      <c r="AC45" s="1725" t="e">
        <f t="shared" si="13"/>
        <v>#DIV/0!</v>
      </c>
      <c r="AD45" s="1954" t="e">
        <f t="shared" si="14"/>
        <v>#DIV/0!</v>
      </c>
      <c r="AE45" s="1952">
        <f t="shared" si="15"/>
        <v>0</v>
      </c>
      <c r="AF45" s="722" t="e">
        <f t="shared" si="21"/>
        <v>#DIV/0!</v>
      </c>
      <c r="AG45" s="722" t="e">
        <f t="shared" si="22"/>
        <v>#DIV/0!</v>
      </c>
      <c r="AH45" s="722" t="e">
        <f t="shared" si="23"/>
        <v>#DIV/0!</v>
      </c>
      <c r="AI45" s="722" t="e">
        <f t="shared" si="24"/>
        <v>#DIV/0!</v>
      </c>
      <c r="AJ45" s="954"/>
      <c r="AK45" s="954"/>
      <c r="AL45" s="954"/>
      <c r="AM45" s="954"/>
      <c r="AN45" s="954"/>
      <c r="AO45" s="963"/>
    </row>
    <row r="46" spans="1:41" x14ac:dyDescent="0.2">
      <c r="A46" s="551" t="str">
        <f>IF(LEN(КАФЕДРА!A46)&gt;2,КАФЕДРА!A46,"")</f>
        <v>Хирургических болезней детского возраста</v>
      </c>
      <c r="B46" s="786" t="str">
        <f>КАФЕДРА!$D46</f>
        <v>ПЕДИАТРИИ</v>
      </c>
      <c r="C46" s="764">
        <f>IF(LEN(Кадры!$A46)&gt;2,Кадры!$E46,0)</f>
        <v>0</v>
      </c>
      <c r="D46" s="201" t="e">
        <f t="shared" si="8"/>
        <v>#DIV/0!</v>
      </c>
      <c r="E46" s="954" t="e">
        <f t="shared" si="9"/>
        <v>#DIV/0!</v>
      </c>
      <c r="F46" s="1290">
        <v>14</v>
      </c>
      <c r="G46" s="1710"/>
      <c r="H46" s="955">
        <f t="shared" si="25"/>
        <v>0</v>
      </c>
      <c r="I46" s="955">
        <f t="shared" si="25"/>
        <v>0</v>
      </c>
      <c r="J46" s="955">
        <f t="shared" si="25"/>
        <v>0</v>
      </c>
      <c r="K46" s="1718">
        <f t="shared" si="25"/>
        <v>0</v>
      </c>
      <c r="L46" s="2066"/>
      <c r="M46" s="2065"/>
      <c r="N46" s="2066"/>
      <c r="O46" s="2065"/>
      <c r="P46" s="2066"/>
      <c r="Q46" s="2065"/>
      <c r="R46" s="2066"/>
      <c r="S46" s="2065"/>
      <c r="T46" s="2066"/>
      <c r="U46" s="2065"/>
      <c r="V46" s="1962">
        <f t="array" ref="V46">SUM(($L46:$U46)*($L$12:$U$12=V$12))</f>
        <v>0</v>
      </c>
      <c r="W46" s="1725">
        <f t="array" ref="W46">SUM(($L46:$U46)*($L$12:$U$12=W$12))</f>
        <v>0</v>
      </c>
      <c r="X46" s="1725">
        <f t="array" ref="X46">SUM(($L46:$U46)*($L$12:$U$12=X$12))</f>
        <v>0</v>
      </c>
      <c r="Y46" s="1725">
        <f t="array" ref="Y46">SUM(($L46:$U46)*($L$12:$U$12=Y$12))</f>
        <v>0</v>
      </c>
      <c r="Z46" s="1728">
        <f t="array" ref="Z46">SUM(($L46:$U46)*($L$12:$U$12=Z$12))</f>
        <v>0</v>
      </c>
      <c r="AA46" s="1725" t="e">
        <f t="shared" si="11"/>
        <v>#DIV/0!</v>
      </c>
      <c r="AB46" s="1725" t="e">
        <f t="shared" si="12"/>
        <v>#DIV/0!</v>
      </c>
      <c r="AC46" s="1725" t="e">
        <f t="shared" si="13"/>
        <v>#DIV/0!</v>
      </c>
      <c r="AD46" s="1954" t="e">
        <f t="shared" si="14"/>
        <v>#DIV/0!</v>
      </c>
      <c r="AE46" s="1952">
        <f t="shared" si="15"/>
        <v>0</v>
      </c>
      <c r="AF46" s="722" t="e">
        <f t="shared" si="21"/>
        <v>#DIV/0!</v>
      </c>
      <c r="AG46" s="722" t="e">
        <f t="shared" si="22"/>
        <v>#DIV/0!</v>
      </c>
      <c r="AH46" s="722" t="e">
        <f t="shared" si="23"/>
        <v>#DIV/0!</v>
      </c>
      <c r="AI46" s="722" t="e">
        <f t="shared" si="24"/>
        <v>#DIV/0!</v>
      </c>
      <c r="AJ46" s="954"/>
      <c r="AK46" s="954"/>
      <c r="AL46" s="954"/>
      <c r="AM46" s="954"/>
      <c r="AN46" s="954"/>
      <c r="AO46" s="963"/>
    </row>
    <row r="47" spans="1:41" s="767" customFormat="1" ht="15" thickBot="1" x14ac:dyDescent="0.25">
      <c r="A47" s="877" t="str">
        <f>IF(LEN(КАФЕДРА!A47)&gt;2,КАФЕДРА!A47,"")</f>
        <v>Клинической фармакологии</v>
      </c>
      <c r="B47" s="879" t="str">
        <f>КАФЕДРА!$D47</f>
        <v>ПЕДИАТРИИ</v>
      </c>
      <c r="C47" s="929">
        <f>IF(LEN(Кадры!$A47)&gt;2,Кадры!$E47,0)</f>
        <v>0</v>
      </c>
      <c r="D47" s="1965" t="e">
        <f t="shared" si="8"/>
        <v>#DIV/0!</v>
      </c>
      <c r="E47" s="1955" t="e">
        <f t="shared" si="9"/>
        <v>#DIV/0!</v>
      </c>
      <c r="F47" s="1296">
        <v>14</v>
      </c>
      <c r="G47" s="1713"/>
      <c r="H47" s="956">
        <f t="shared" si="25"/>
        <v>0</v>
      </c>
      <c r="I47" s="956">
        <f t="shared" si="25"/>
        <v>0</v>
      </c>
      <c r="J47" s="956">
        <f t="shared" si="25"/>
        <v>0</v>
      </c>
      <c r="K47" s="1719">
        <f t="shared" si="25"/>
        <v>0</v>
      </c>
      <c r="L47" s="2069"/>
      <c r="M47" s="2070"/>
      <c r="N47" s="2069"/>
      <c r="O47" s="2070"/>
      <c r="P47" s="2069"/>
      <c r="Q47" s="2070"/>
      <c r="R47" s="2069"/>
      <c r="S47" s="2070"/>
      <c r="T47" s="2069"/>
      <c r="U47" s="2070"/>
      <c r="V47" s="1956">
        <f t="array" ref="V47">SUM(($L47:$U47)*($L$12:$U$12=V$12))</f>
        <v>0</v>
      </c>
      <c r="W47" s="1956">
        <f t="array" ref="W47">SUM(($L47:$U47)*($L$12:$U$12=W$12))</f>
        <v>0</v>
      </c>
      <c r="X47" s="1956">
        <f t="array" ref="X47">SUM(($L47:$U47)*($L$12:$U$12=X$12))</f>
        <v>0</v>
      </c>
      <c r="Y47" s="1956">
        <f t="array" ref="Y47">SUM(($L47:$U47)*($L$12:$U$12=Y$12))</f>
        <v>0</v>
      </c>
      <c r="Z47" s="1729">
        <f t="array" ref="Z47">SUM(($L47:$U47)*($L$12:$U$12=Z$12))</f>
        <v>0</v>
      </c>
      <c r="AA47" s="1956" t="e">
        <f t="shared" si="11"/>
        <v>#DIV/0!</v>
      </c>
      <c r="AB47" s="1956" t="e">
        <f t="shared" si="12"/>
        <v>#DIV/0!</v>
      </c>
      <c r="AC47" s="1956" t="e">
        <f t="shared" si="13"/>
        <v>#DIV/0!</v>
      </c>
      <c r="AD47" s="1957" t="e">
        <f t="shared" si="14"/>
        <v>#DIV/0!</v>
      </c>
      <c r="AE47" s="1958">
        <f t="shared" si="15"/>
        <v>0</v>
      </c>
      <c r="AF47" s="1959" t="e">
        <f t="shared" si="21"/>
        <v>#DIV/0!</v>
      </c>
      <c r="AG47" s="1959" t="e">
        <f t="shared" si="22"/>
        <v>#DIV/0!</v>
      </c>
      <c r="AH47" s="1959" t="e">
        <f t="shared" si="23"/>
        <v>#DIV/0!</v>
      </c>
      <c r="AI47" s="1959" t="e">
        <f t="shared" si="24"/>
        <v>#DIV/0!</v>
      </c>
      <c r="AJ47" s="954"/>
      <c r="AK47" s="954"/>
      <c r="AL47" s="954"/>
      <c r="AM47" s="954"/>
      <c r="AN47" s="954"/>
      <c r="AO47" s="963"/>
    </row>
    <row r="48" spans="1:41" x14ac:dyDescent="0.2">
      <c r="A48" s="552" t="str">
        <f>IF(LEN(КАФЕДРА!A48)&gt;2,КАФЕДРА!A48,"")</f>
        <v>Ортопедической стоматологии</v>
      </c>
      <c r="B48" s="788" t="str">
        <f>КАФЕДРА!$D48</f>
        <v>СТОМ</v>
      </c>
      <c r="C48" s="930">
        <f>IF(LEN(Кадры!$A48)&gt;2,Кадры!$E48,0)</f>
        <v>0</v>
      </c>
      <c r="D48" s="1963" t="e">
        <f t="shared" si="8"/>
        <v>#DIV/0!</v>
      </c>
      <c r="E48" s="1964" t="e">
        <f t="shared" si="9"/>
        <v>#DIV/0!</v>
      </c>
      <c r="F48" s="1290">
        <v>14</v>
      </c>
      <c r="G48" s="1712"/>
      <c r="H48" s="957">
        <f t="shared" si="25"/>
        <v>0</v>
      </c>
      <c r="I48" s="957">
        <f t="shared" si="25"/>
        <v>0</v>
      </c>
      <c r="J48" s="957">
        <f t="shared" si="25"/>
        <v>0</v>
      </c>
      <c r="K48" s="1720">
        <f t="shared" si="25"/>
        <v>0</v>
      </c>
      <c r="L48" s="2067"/>
      <c r="M48" s="2068"/>
      <c r="N48" s="2067"/>
      <c r="O48" s="2068"/>
      <c r="P48" s="2067"/>
      <c r="Q48" s="2068"/>
      <c r="R48" s="2067"/>
      <c r="S48" s="2068"/>
      <c r="T48" s="2067"/>
      <c r="U48" s="2068"/>
      <c r="V48" s="1962">
        <f t="array" ref="V48">SUM(($L48:$U48)*($L$12:$U$12=V$12))</f>
        <v>0</v>
      </c>
      <c r="W48" s="1725">
        <f t="array" ref="W48">SUM(($L48:$U48)*($L$12:$U$12=W$12))</f>
        <v>0</v>
      </c>
      <c r="X48" s="1725">
        <f t="array" ref="X48">SUM(($L48:$U48)*($L$12:$U$12=X$12))</f>
        <v>0</v>
      </c>
      <c r="Y48" s="1725">
        <f t="array" ref="Y48">SUM(($L48:$U48)*($L$12:$U$12=Y$12))</f>
        <v>0</v>
      </c>
      <c r="Z48" s="1728">
        <f t="array" ref="Z48">SUM(($L48:$U48)*($L$12:$U$12=Z$12))</f>
        <v>0</v>
      </c>
      <c r="AA48" s="1725" t="e">
        <f t="shared" si="11"/>
        <v>#DIV/0!</v>
      </c>
      <c r="AB48" s="1725" t="e">
        <f t="shared" si="12"/>
        <v>#DIV/0!</v>
      </c>
      <c r="AC48" s="1725" t="e">
        <f t="shared" si="13"/>
        <v>#DIV/0!</v>
      </c>
      <c r="AD48" s="1954" t="e">
        <f t="shared" si="14"/>
        <v>#DIV/0!</v>
      </c>
      <c r="AE48" s="1952">
        <f t="shared" si="15"/>
        <v>0</v>
      </c>
      <c r="AF48" s="722" t="e">
        <f t="shared" si="21"/>
        <v>#DIV/0!</v>
      </c>
      <c r="AG48" s="722" t="e">
        <f t="shared" si="22"/>
        <v>#DIV/0!</v>
      </c>
      <c r="AH48" s="722" t="e">
        <f t="shared" si="23"/>
        <v>#DIV/0!</v>
      </c>
      <c r="AI48" s="722" t="e">
        <f t="shared" si="24"/>
        <v>#DIV/0!</v>
      </c>
      <c r="AJ48" s="954"/>
      <c r="AK48" s="954"/>
      <c r="AL48" s="954"/>
      <c r="AM48" s="954"/>
      <c r="AN48" s="954"/>
      <c r="AO48" s="963"/>
    </row>
    <row r="49" spans="1:41" x14ac:dyDescent="0.2">
      <c r="A49" s="551" t="str">
        <f>IF(LEN(КАФЕДРА!A49)&gt;2,КАФЕДРА!A49,"")</f>
        <v>Стоматологии детского возраста</v>
      </c>
      <c r="B49" s="789" t="str">
        <f>КАФЕДРА!$D49</f>
        <v>СТОМ</v>
      </c>
      <c r="C49" s="783">
        <f>IF(LEN(Кадры!$A49)&gt;2,Кадры!$E49,0)</f>
        <v>0</v>
      </c>
      <c r="D49" s="201" t="e">
        <f t="shared" si="8"/>
        <v>#DIV/0!</v>
      </c>
      <c r="E49" s="954" t="e">
        <f t="shared" si="9"/>
        <v>#DIV/0!</v>
      </c>
      <c r="F49" s="1290">
        <v>14</v>
      </c>
      <c r="G49" s="1710"/>
      <c r="H49" s="955">
        <f t="shared" si="25"/>
        <v>0</v>
      </c>
      <c r="I49" s="955">
        <f t="shared" si="25"/>
        <v>0</v>
      </c>
      <c r="J49" s="955">
        <f t="shared" si="25"/>
        <v>0</v>
      </c>
      <c r="K49" s="1718">
        <f t="shared" si="25"/>
        <v>0</v>
      </c>
      <c r="L49" s="2066"/>
      <c r="M49" s="2065"/>
      <c r="N49" s="2066"/>
      <c r="O49" s="2065"/>
      <c r="P49" s="2066"/>
      <c r="Q49" s="2065"/>
      <c r="R49" s="2066"/>
      <c r="S49" s="2065"/>
      <c r="T49" s="2066"/>
      <c r="U49" s="2065"/>
      <c r="V49" s="1962">
        <f t="array" ref="V49">SUM(($L49:$U49)*($L$12:$U$12=V$12))</f>
        <v>0</v>
      </c>
      <c r="W49" s="1725">
        <f t="array" ref="W49">SUM(($L49:$U49)*($L$12:$U$12=W$12))</f>
        <v>0</v>
      </c>
      <c r="X49" s="1725">
        <f t="array" ref="X49">SUM(($L49:$U49)*($L$12:$U$12=X$12))</f>
        <v>0</v>
      </c>
      <c r="Y49" s="1725">
        <f t="array" ref="Y49">SUM(($L49:$U49)*($L$12:$U$12=Y$12))</f>
        <v>0</v>
      </c>
      <c r="Z49" s="1728">
        <f t="array" ref="Z49">SUM(($L49:$U49)*($L$12:$U$12=Z$12))</f>
        <v>0</v>
      </c>
      <c r="AA49" s="1725" t="e">
        <f t="shared" si="11"/>
        <v>#DIV/0!</v>
      </c>
      <c r="AB49" s="1725" t="e">
        <f t="shared" si="12"/>
        <v>#DIV/0!</v>
      </c>
      <c r="AC49" s="1725" t="e">
        <f t="shared" si="13"/>
        <v>#DIV/0!</v>
      </c>
      <c r="AD49" s="1954" t="e">
        <f t="shared" si="14"/>
        <v>#DIV/0!</v>
      </c>
      <c r="AE49" s="1952">
        <f t="shared" si="15"/>
        <v>0</v>
      </c>
      <c r="AF49" s="722" t="e">
        <f t="shared" si="21"/>
        <v>#DIV/0!</v>
      </c>
      <c r="AG49" s="722" t="e">
        <f t="shared" si="22"/>
        <v>#DIV/0!</v>
      </c>
      <c r="AH49" s="722" t="e">
        <f t="shared" si="23"/>
        <v>#DIV/0!</v>
      </c>
      <c r="AI49" s="722" t="e">
        <f t="shared" si="24"/>
        <v>#DIV/0!</v>
      </c>
      <c r="AJ49" s="954"/>
      <c r="AK49" s="954"/>
      <c r="AL49" s="954"/>
      <c r="AM49" s="954"/>
      <c r="AN49" s="954"/>
      <c r="AO49" s="963"/>
    </row>
    <row r="50" spans="1:41" x14ac:dyDescent="0.2">
      <c r="A50" s="551" t="str">
        <f>IF(LEN(КАФЕДРА!A50)&gt;2,КАФЕДРА!A50,"")</f>
        <v>Терапевтической стоматологии</v>
      </c>
      <c r="B50" s="789" t="str">
        <f>КАФЕДРА!$D50</f>
        <v>СТОМ</v>
      </c>
      <c r="C50" s="764">
        <f>IF(LEN(Кадры!$A50)&gt;2,Кадры!$E50,0)</f>
        <v>0</v>
      </c>
      <c r="D50" s="201" t="e">
        <f t="shared" si="8"/>
        <v>#DIV/0!</v>
      </c>
      <c r="E50" s="954" t="e">
        <f t="shared" si="9"/>
        <v>#DIV/0!</v>
      </c>
      <c r="F50" s="1290">
        <v>14</v>
      </c>
      <c r="G50" s="1710"/>
      <c r="H50" s="955">
        <f t="shared" si="25"/>
        <v>0</v>
      </c>
      <c r="I50" s="955">
        <f t="shared" si="25"/>
        <v>0</v>
      </c>
      <c r="J50" s="955">
        <f t="shared" si="25"/>
        <v>0</v>
      </c>
      <c r="K50" s="1718">
        <f t="shared" si="25"/>
        <v>0</v>
      </c>
      <c r="L50" s="2066"/>
      <c r="M50" s="2065"/>
      <c r="N50" s="2066"/>
      <c r="O50" s="2065"/>
      <c r="P50" s="2066"/>
      <c r="Q50" s="2065"/>
      <c r="R50" s="2066"/>
      <c r="S50" s="2065"/>
      <c r="T50" s="2066"/>
      <c r="U50" s="2065"/>
      <c r="V50" s="1962">
        <f t="array" ref="V50">SUM(($L50:$U50)*($L$12:$U$12=V$12))</f>
        <v>0</v>
      </c>
      <c r="W50" s="1725">
        <f t="array" ref="W50">SUM(($L50:$U50)*($L$12:$U$12=W$12))</f>
        <v>0</v>
      </c>
      <c r="X50" s="1725">
        <f t="array" ref="X50">SUM(($L50:$U50)*($L$12:$U$12=X$12))</f>
        <v>0</v>
      </c>
      <c r="Y50" s="1725">
        <f t="array" ref="Y50">SUM(($L50:$U50)*($L$12:$U$12=Y$12))</f>
        <v>0</v>
      </c>
      <c r="Z50" s="1728">
        <f t="array" ref="Z50">SUM(($L50:$U50)*($L$12:$U$12=Z$12))</f>
        <v>0</v>
      </c>
      <c r="AA50" s="1725" t="e">
        <f t="shared" si="11"/>
        <v>#DIV/0!</v>
      </c>
      <c r="AB50" s="1725" t="e">
        <f t="shared" si="12"/>
        <v>#DIV/0!</v>
      </c>
      <c r="AC50" s="1725" t="e">
        <f t="shared" si="13"/>
        <v>#DIV/0!</v>
      </c>
      <c r="AD50" s="1954" t="e">
        <f t="shared" si="14"/>
        <v>#DIV/0!</v>
      </c>
      <c r="AE50" s="1952">
        <f t="shared" si="15"/>
        <v>0</v>
      </c>
      <c r="AF50" s="722" t="e">
        <f t="shared" si="21"/>
        <v>#DIV/0!</v>
      </c>
      <c r="AG50" s="722" t="e">
        <f t="shared" si="22"/>
        <v>#DIV/0!</v>
      </c>
      <c r="AH50" s="722" t="e">
        <f t="shared" si="23"/>
        <v>#DIV/0!</v>
      </c>
      <c r="AI50" s="722" t="e">
        <f t="shared" si="24"/>
        <v>#DIV/0!</v>
      </c>
      <c r="AJ50" s="954"/>
      <c r="AK50" s="954"/>
      <c r="AL50" s="954"/>
      <c r="AM50" s="954"/>
      <c r="AN50" s="954"/>
      <c r="AO50" s="963"/>
    </row>
    <row r="51" spans="1:41" x14ac:dyDescent="0.2">
      <c r="A51" s="551" t="str">
        <f>IF(LEN(КАФЕДРА!A51)&gt;2,КАФЕДРА!A51,"")</f>
        <v>Физической культуры и здорового образа жизни</v>
      </c>
      <c r="B51" s="789" t="str">
        <f>КАФЕДРА!$D51</f>
        <v>СТОМ</v>
      </c>
      <c r="C51" s="764">
        <f>IF(LEN(Кадры!$A51)&gt;2,Кадры!$E51,0)</f>
        <v>0</v>
      </c>
      <c r="D51" s="201" t="e">
        <f t="shared" si="8"/>
        <v>#DIV/0!</v>
      </c>
      <c r="E51" s="954" t="e">
        <f t="shared" si="9"/>
        <v>#DIV/0!</v>
      </c>
      <c r="F51" s="1290">
        <v>14</v>
      </c>
      <c r="G51" s="1710"/>
      <c r="H51" s="955">
        <f t="shared" si="25"/>
        <v>0</v>
      </c>
      <c r="I51" s="955">
        <f t="shared" si="25"/>
        <v>0</v>
      </c>
      <c r="J51" s="955">
        <f t="shared" si="25"/>
        <v>0</v>
      </c>
      <c r="K51" s="1718">
        <f t="shared" si="25"/>
        <v>0</v>
      </c>
      <c r="L51" s="2066"/>
      <c r="M51" s="2065"/>
      <c r="N51" s="2066"/>
      <c r="O51" s="2065"/>
      <c r="P51" s="2066"/>
      <c r="Q51" s="2065"/>
      <c r="R51" s="2066"/>
      <c r="S51" s="2065"/>
      <c r="T51" s="2066"/>
      <c r="U51" s="2065"/>
      <c r="V51" s="1962">
        <f t="array" ref="V51">SUM(($L51:$U51)*($L$12:$U$12=V$12))</f>
        <v>0</v>
      </c>
      <c r="W51" s="1725">
        <f t="array" ref="W51">SUM(($L51:$U51)*($L$12:$U$12=W$12))</f>
        <v>0</v>
      </c>
      <c r="X51" s="1725">
        <f t="array" ref="X51">SUM(($L51:$U51)*($L$12:$U$12=X$12))</f>
        <v>0</v>
      </c>
      <c r="Y51" s="1725">
        <f t="array" ref="Y51">SUM(($L51:$U51)*($L$12:$U$12=Y$12))</f>
        <v>0</v>
      </c>
      <c r="Z51" s="1728">
        <f t="array" ref="Z51">SUM(($L51:$U51)*($L$12:$U$12=Z$12))</f>
        <v>0</v>
      </c>
      <c r="AA51" s="1725" t="e">
        <f t="shared" si="11"/>
        <v>#DIV/0!</v>
      </c>
      <c r="AB51" s="1725" t="e">
        <f t="shared" si="12"/>
        <v>#DIV/0!</v>
      </c>
      <c r="AC51" s="1725" t="e">
        <f t="shared" si="13"/>
        <v>#DIV/0!</v>
      </c>
      <c r="AD51" s="1954" t="e">
        <f t="shared" si="14"/>
        <v>#DIV/0!</v>
      </c>
      <c r="AE51" s="1952">
        <f t="shared" si="15"/>
        <v>0</v>
      </c>
      <c r="AF51" s="722" t="e">
        <f t="shared" si="21"/>
        <v>#DIV/0!</v>
      </c>
      <c r="AG51" s="722" t="e">
        <f t="shared" si="22"/>
        <v>#DIV/0!</v>
      </c>
      <c r="AH51" s="722" t="e">
        <f t="shared" si="23"/>
        <v>#DIV/0!</v>
      </c>
      <c r="AI51" s="722" t="e">
        <f t="shared" si="24"/>
        <v>#DIV/0!</v>
      </c>
      <c r="AJ51" s="954"/>
      <c r="AK51" s="954"/>
      <c r="AL51" s="954"/>
      <c r="AM51" s="954"/>
      <c r="AN51" s="954"/>
      <c r="AO51" s="963"/>
    </row>
    <row r="52" spans="1:41" ht="15" thickBot="1" x14ac:dyDescent="0.25">
      <c r="A52" s="578" t="str">
        <f>IF(LEN(КАФЕДРА!A52)&gt;2,КАФЕДРА!A52,"")</f>
        <v>Хирургической стоматологии, челюстно-лицевой хирургии</v>
      </c>
      <c r="B52" s="790" t="str">
        <f>КАФЕДРА!$D52</f>
        <v>СТОМ</v>
      </c>
      <c r="C52" s="928">
        <f>IF(LEN(Кадры!$A52)&gt;2,Кадры!$E52,0)</f>
        <v>0</v>
      </c>
      <c r="D52" s="1965" t="e">
        <f t="shared" si="8"/>
        <v>#DIV/0!</v>
      </c>
      <c r="E52" s="1955" t="e">
        <f t="shared" si="9"/>
        <v>#DIV/0!</v>
      </c>
      <c r="F52" s="1296">
        <v>14</v>
      </c>
      <c r="G52" s="1711"/>
      <c r="H52" s="956">
        <f t="shared" si="25"/>
        <v>0</v>
      </c>
      <c r="I52" s="956">
        <f t="shared" si="25"/>
        <v>0</v>
      </c>
      <c r="J52" s="956">
        <f t="shared" si="25"/>
        <v>0</v>
      </c>
      <c r="K52" s="1719">
        <f t="shared" si="25"/>
        <v>0</v>
      </c>
      <c r="L52" s="2069"/>
      <c r="M52" s="2070"/>
      <c r="N52" s="2069"/>
      <c r="O52" s="2070"/>
      <c r="P52" s="2069"/>
      <c r="Q52" s="2070"/>
      <c r="R52" s="2069"/>
      <c r="S52" s="2070"/>
      <c r="T52" s="2069"/>
      <c r="U52" s="2070"/>
      <c r="V52" s="1956">
        <f t="array" ref="V52">SUM(($L52:$U52)*($L$12:$U$12=V$12))</f>
        <v>0</v>
      </c>
      <c r="W52" s="1956">
        <f t="array" ref="W52">SUM(($L52:$U52)*($L$12:$U$12=W$12))</f>
        <v>0</v>
      </c>
      <c r="X52" s="1956">
        <f t="array" ref="X52">SUM(($L52:$U52)*($L$12:$U$12=X$12))</f>
        <v>0</v>
      </c>
      <c r="Y52" s="1956">
        <f t="array" ref="Y52">SUM(($L52:$U52)*($L$12:$U$12=Y$12))</f>
        <v>0</v>
      </c>
      <c r="Z52" s="1729">
        <f t="array" ref="Z52">SUM(($L52:$U52)*($L$12:$U$12=Z$12))</f>
        <v>0</v>
      </c>
      <c r="AA52" s="1956" t="e">
        <f t="shared" si="11"/>
        <v>#DIV/0!</v>
      </c>
      <c r="AB52" s="1956" t="e">
        <f t="shared" si="12"/>
        <v>#DIV/0!</v>
      </c>
      <c r="AC52" s="1956" t="e">
        <f t="shared" si="13"/>
        <v>#DIV/0!</v>
      </c>
      <c r="AD52" s="1957" t="e">
        <f t="shared" si="14"/>
        <v>#DIV/0!</v>
      </c>
      <c r="AE52" s="1958">
        <f t="shared" si="15"/>
        <v>0</v>
      </c>
      <c r="AF52" s="1959" t="e">
        <f t="shared" si="21"/>
        <v>#DIV/0!</v>
      </c>
      <c r="AG52" s="1959" t="e">
        <f t="shared" si="22"/>
        <v>#DIV/0!</v>
      </c>
      <c r="AH52" s="1959" t="e">
        <f t="shared" si="23"/>
        <v>#DIV/0!</v>
      </c>
      <c r="AI52" s="1959" t="e">
        <f t="shared" si="24"/>
        <v>#DIV/0!</v>
      </c>
      <c r="AJ52" s="954"/>
      <c r="AK52" s="954"/>
      <c r="AL52" s="954"/>
      <c r="AM52" s="954"/>
      <c r="AN52" s="954"/>
      <c r="AO52" s="963"/>
    </row>
    <row r="53" spans="1:41" x14ac:dyDescent="0.2">
      <c r="A53" s="552" t="str">
        <f>IF(LEN(КАФЕДРА!A53)&gt;2,КАФЕДРА!A53,"")</f>
        <v>Биологии, гистологии, эмбриологии и цитологии</v>
      </c>
      <c r="B53" s="791" t="str">
        <f>КАФЕДРА!$D53</f>
        <v>ОЗДОРОВЬЯ</v>
      </c>
      <c r="C53" s="783">
        <f>IF(LEN(Кадры!$A53)&gt;2,Кадры!$E53,0)</f>
        <v>0</v>
      </c>
      <c r="D53" s="1963" t="e">
        <f t="shared" si="8"/>
        <v>#DIV/0!</v>
      </c>
      <c r="E53" s="1964" t="e">
        <f t="shared" si="9"/>
        <v>#DIV/0!</v>
      </c>
      <c r="F53" s="1290">
        <v>14</v>
      </c>
      <c r="G53" s="1712"/>
      <c r="H53" s="957">
        <f t="shared" si="25"/>
        <v>0</v>
      </c>
      <c r="I53" s="957">
        <f t="shared" si="25"/>
        <v>0</v>
      </c>
      <c r="J53" s="957">
        <f t="shared" si="25"/>
        <v>0</v>
      </c>
      <c r="K53" s="1720">
        <f t="shared" si="25"/>
        <v>0</v>
      </c>
      <c r="L53" s="2067"/>
      <c r="M53" s="2068"/>
      <c r="N53" s="2067"/>
      <c r="O53" s="2068"/>
      <c r="P53" s="2067"/>
      <c r="Q53" s="2068"/>
      <c r="R53" s="2067"/>
      <c r="S53" s="2068"/>
      <c r="T53" s="2067"/>
      <c r="U53" s="2068"/>
      <c r="V53" s="1962">
        <f t="array" ref="V53">SUM(($L53:$U53)*($L$12:$U$12=V$12))</f>
        <v>0</v>
      </c>
      <c r="W53" s="1725">
        <f t="array" ref="W53">SUM(($L53:$U53)*($L$12:$U$12=W$12))</f>
        <v>0</v>
      </c>
      <c r="X53" s="1725">
        <f t="array" ref="X53">SUM(($L53:$U53)*($L$12:$U$12=X$12))</f>
        <v>0</v>
      </c>
      <c r="Y53" s="1725">
        <f t="array" ref="Y53">SUM(($L53:$U53)*($L$12:$U$12=Y$12))</f>
        <v>0</v>
      </c>
      <c r="Z53" s="1728">
        <f t="array" ref="Z53">SUM(($L53:$U53)*($L$12:$U$12=Z$12))</f>
        <v>0</v>
      </c>
      <c r="AA53" s="1725" t="e">
        <f t="shared" si="11"/>
        <v>#DIV/0!</v>
      </c>
      <c r="AB53" s="1725" t="e">
        <f t="shared" si="12"/>
        <v>#DIV/0!</v>
      </c>
      <c r="AC53" s="1725" t="e">
        <f t="shared" si="13"/>
        <v>#DIV/0!</v>
      </c>
      <c r="AD53" s="1954" t="e">
        <f t="shared" si="14"/>
        <v>#DIV/0!</v>
      </c>
      <c r="AE53" s="1952">
        <f t="shared" si="15"/>
        <v>0</v>
      </c>
      <c r="AF53" s="722" t="e">
        <f t="shared" si="21"/>
        <v>#DIV/0!</v>
      </c>
      <c r="AG53" s="722" t="e">
        <f t="shared" si="22"/>
        <v>#DIV/0!</v>
      </c>
      <c r="AH53" s="722" t="e">
        <f t="shared" si="23"/>
        <v>#DIV/0!</v>
      </c>
      <c r="AI53" s="722" t="e">
        <f t="shared" si="24"/>
        <v>#DIV/0!</v>
      </c>
      <c r="AJ53" s="954"/>
      <c r="AK53" s="954"/>
      <c r="AL53" s="954"/>
      <c r="AM53" s="954"/>
      <c r="AN53" s="954"/>
      <c r="AO53" s="963"/>
    </row>
    <row r="54" spans="1:41" x14ac:dyDescent="0.2">
      <c r="A54" s="551" t="str">
        <f>IF(LEN(КАФЕДРА!A54)&gt;2,КАФЕДРА!A54,"")</f>
        <v>Гигиены и основ экологии</v>
      </c>
      <c r="B54" s="792" t="str">
        <f>КАФЕДРА!$D54</f>
        <v>ОЗДОРОВЬЯ</v>
      </c>
      <c r="C54" s="764">
        <f>IF(LEN(Кадры!$A54)&gt;2,Кадры!$E54,0)</f>
        <v>0</v>
      </c>
      <c r="D54" s="201" t="e">
        <f t="shared" si="8"/>
        <v>#DIV/0!</v>
      </c>
      <c r="E54" s="954" t="e">
        <f t="shared" si="9"/>
        <v>#DIV/0!</v>
      </c>
      <c r="F54" s="1290">
        <v>14</v>
      </c>
      <c r="G54" s="1710"/>
      <c r="H54" s="955">
        <f t="shared" si="25"/>
        <v>0</v>
      </c>
      <c r="I54" s="955">
        <f t="shared" si="25"/>
        <v>0</v>
      </c>
      <c r="J54" s="955">
        <f t="shared" si="25"/>
        <v>0</v>
      </c>
      <c r="K54" s="1718">
        <f t="shared" si="25"/>
        <v>0</v>
      </c>
      <c r="L54" s="2066"/>
      <c r="M54" s="2065"/>
      <c r="N54" s="2066"/>
      <c r="O54" s="2065"/>
      <c r="P54" s="2066"/>
      <c r="Q54" s="2065"/>
      <c r="R54" s="2066"/>
      <c r="S54" s="2065"/>
      <c r="T54" s="2066"/>
      <c r="U54" s="2065"/>
      <c r="V54" s="1962">
        <f t="array" ref="V54">SUM(($L54:$U54)*($L$12:$U$12=V$12))</f>
        <v>0</v>
      </c>
      <c r="W54" s="1725">
        <f t="array" ref="W54">SUM(($L54:$U54)*($L$12:$U$12=W$12))</f>
        <v>0</v>
      </c>
      <c r="X54" s="1725">
        <f t="array" ref="X54">SUM(($L54:$U54)*($L$12:$U$12=X$12))</f>
        <v>0</v>
      </c>
      <c r="Y54" s="1725">
        <f t="array" ref="Y54">SUM(($L54:$U54)*($L$12:$U$12=Y$12))</f>
        <v>0</v>
      </c>
      <c r="Z54" s="1728">
        <f t="array" ref="Z54">SUM(($L54:$U54)*($L$12:$U$12=Z$12))</f>
        <v>0</v>
      </c>
      <c r="AA54" s="1725" t="e">
        <f t="shared" si="11"/>
        <v>#DIV/0!</v>
      </c>
      <c r="AB54" s="1725" t="e">
        <f t="shared" si="12"/>
        <v>#DIV/0!</v>
      </c>
      <c r="AC54" s="1725" t="e">
        <f t="shared" si="13"/>
        <v>#DIV/0!</v>
      </c>
      <c r="AD54" s="1954" t="e">
        <f t="shared" si="14"/>
        <v>#DIV/0!</v>
      </c>
      <c r="AE54" s="1952">
        <f t="shared" si="15"/>
        <v>0</v>
      </c>
      <c r="AF54" s="722" t="e">
        <f t="shared" si="21"/>
        <v>#DIV/0!</v>
      </c>
      <c r="AG54" s="722" t="e">
        <f t="shared" si="22"/>
        <v>#DIV/0!</v>
      </c>
      <c r="AH54" s="722" t="e">
        <f t="shared" si="23"/>
        <v>#DIV/0!</v>
      </c>
      <c r="AI54" s="722" t="e">
        <f t="shared" si="24"/>
        <v>#DIV/0!</v>
      </c>
      <c r="AJ54" s="954"/>
      <c r="AK54" s="954"/>
      <c r="AL54" s="954"/>
      <c r="AM54" s="954"/>
      <c r="AN54" s="954"/>
      <c r="AO54" s="963"/>
    </row>
    <row r="55" spans="1:41" x14ac:dyDescent="0.2">
      <c r="A55" s="551" t="str">
        <f>IF(LEN(КАФЕДРА!A55)&gt;2,КАФЕДРА!A55,"")</f>
        <v>Дерматовенерологии, косметологии и иммунологии</v>
      </c>
      <c r="B55" s="792" t="str">
        <f>КАФЕДРА!$D55</f>
        <v>ОЗДОРОВЬЯ</v>
      </c>
      <c r="C55" s="764">
        <f>IF(LEN(Кадры!$A55)&gt;2,Кадры!$E55,0)</f>
        <v>0</v>
      </c>
      <c r="D55" s="201" t="e">
        <f t="shared" si="8"/>
        <v>#DIV/0!</v>
      </c>
      <c r="E55" s="954" t="e">
        <f t="shared" si="9"/>
        <v>#DIV/0!</v>
      </c>
      <c r="F55" s="1290">
        <v>14</v>
      </c>
      <c r="G55" s="1710"/>
      <c r="H55" s="955">
        <f t="shared" ref="H55:K77" si="26">H$7/10*$C55</f>
        <v>0</v>
      </c>
      <c r="I55" s="955">
        <f t="shared" si="26"/>
        <v>0</v>
      </c>
      <c r="J55" s="955">
        <f t="shared" si="26"/>
        <v>0</v>
      </c>
      <c r="K55" s="1718">
        <f t="shared" si="26"/>
        <v>0</v>
      </c>
      <c r="L55" s="2066"/>
      <c r="M55" s="2065"/>
      <c r="N55" s="2066"/>
      <c r="O55" s="2065"/>
      <c r="P55" s="2066"/>
      <c r="Q55" s="2065"/>
      <c r="R55" s="2066"/>
      <c r="S55" s="2065"/>
      <c r="T55" s="2066"/>
      <c r="U55" s="2065"/>
      <c r="V55" s="1962">
        <f t="array" ref="V55">SUM(($L55:$U55)*($L$12:$U$12=V$12))</f>
        <v>0</v>
      </c>
      <c r="W55" s="1725">
        <f t="array" ref="W55">SUM(($L55:$U55)*($L$12:$U$12=W$12))</f>
        <v>0</v>
      </c>
      <c r="X55" s="1725">
        <f t="array" ref="X55">SUM(($L55:$U55)*($L$12:$U$12=X$12))</f>
        <v>0</v>
      </c>
      <c r="Y55" s="1725">
        <f t="array" ref="Y55">SUM(($L55:$U55)*($L$12:$U$12=Y$12))</f>
        <v>0</v>
      </c>
      <c r="Z55" s="1728">
        <f t="array" ref="Z55">SUM(($L55:$U55)*($L$12:$U$12=Z$12))</f>
        <v>0</v>
      </c>
      <c r="AA55" s="1725" t="e">
        <f t="shared" si="11"/>
        <v>#DIV/0!</v>
      </c>
      <c r="AB55" s="1725" t="e">
        <f t="shared" si="12"/>
        <v>#DIV/0!</v>
      </c>
      <c r="AC55" s="1725" t="e">
        <f t="shared" si="13"/>
        <v>#DIV/0!</v>
      </c>
      <c r="AD55" s="1954" t="e">
        <f t="shared" si="14"/>
        <v>#DIV/0!</v>
      </c>
      <c r="AE55" s="1952">
        <f t="shared" si="15"/>
        <v>0</v>
      </c>
      <c r="AF55" s="722" t="e">
        <f t="shared" si="21"/>
        <v>#DIV/0!</v>
      </c>
      <c r="AG55" s="722" t="e">
        <f t="shared" si="22"/>
        <v>#DIV/0!</v>
      </c>
      <c r="AH55" s="722" t="e">
        <f t="shared" si="23"/>
        <v>#DIV/0!</v>
      </c>
      <c r="AI55" s="722" t="e">
        <f t="shared" si="24"/>
        <v>#DIV/0!</v>
      </c>
      <c r="AJ55" s="954"/>
      <c r="AK55" s="954"/>
      <c r="AL55" s="954"/>
      <c r="AM55" s="954"/>
      <c r="AN55" s="954"/>
      <c r="AO55" s="963"/>
    </row>
    <row r="56" spans="1:41" x14ac:dyDescent="0.2">
      <c r="A56" s="551" t="str">
        <f>IF(LEN(КАФЕДРА!A56)&gt;2,КАФЕДРА!A56,"")</f>
        <v>Инфекционных болезней с курсом ДПО</v>
      </c>
      <c r="B56" s="792" t="str">
        <f>КАФЕДРА!$D56</f>
        <v>ОЗДОРОВЬЯ</v>
      </c>
      <c r="C56" s="764">
        <f>IF(LEN(Кадры!$A56)&gt;2,Кадры!$E56,0)</f>
        <v>0</v>
      </c>
      <c r="D56" s="201" t="e">
        <f t="shared" si="8"/>
        <v>#DIV/0!</v>
      </c>
      <c r="E56" s="954" t="e">
        <f t="shared" si="9"/>
        <v>#DIV/0!</v>
      </c>
      <c r="F56" s="1290">
        <v>14</v>
      </c>
      <c r="G56" s="1710"/>
      <c r="H56" s="955">
        <f t="shared" si="26"/>
        <v>0</v>
      </c>
      <c r="I56" s="955">
        <f t="shared" si="26"/>
        <v>0</v>
      </c>
      <c r="J56" s="955">
        <f t="shared" si="26"/>
        <v>0</v>
      </c>
      <c r="K56" s="1718">
        <f t="shared" si="26"/>
        <v>0</v>
      </c>
      <c r="L56" s="2066"/>
      <c r="M56" s="2065"/>
      <c r="N56" s="2066"/>
      <c r="O56" s="2065"/>
      <c r="P56" s="2066"/>
      <c r="Q56" s="2065"/>
      <c r="R56" s="2066"/>
      <c r="S56" s="2065"/>
      <c r="T56" s="2066"/>
      <c r="U56" s="2065"/>
      <c r="V56" s="1962">
        <f t="array" ref="V56">SUM(($L56:$U56)*($L$12:$U$12=V$12))</f>
        <v>0</v>
      </c>
      <c r="W56" s="1725">
        <f t="array" ref="W56">SUM(($L56:$U56)*($L$12:$U$12=W$12))</f>
        <v>0</v>
      </c>
      <c r="X56" s="1725">
        <f t="array" ref="X56">SUM(($L56:$U56)*($L$12:$U$12=X$12))</f>
        <v>0</v>
      </c>
      <c r="Y56" s="1725">
        <f t="array" ref="Y56">SUM(($L56:$U56)*($L$12:$U$12=Y$12))</f>
        <v>0</v>
      </c>
      <c r="Z56" s="1728">
        <f t="array" ref="Z56">SUM(($L56:$U56)*($L$12:$U$12=Z$12))</f>
        <v>0</v>
      </c>
      <c r="AA56" s="1725" t="e">
        <f t="shared" si="11"/>
        <v>#DIV/0!</v>
      </c>
      <c r="AB56" s="1725" t="e">
        <f t="shared" si="12"/>
        <v>#DIV/0!</v>
      </c>
      <c r="AC56" s="1725" t="e">
        <f t="shared" si="13"/>
        <v>#DIV/0!</v>
      </c>
      <c r="AD56" s="1954" t="e">
        <f t="shared" si="14"/>
        <v>#DIV/0!</v>
      </c>
      <c r="AE56" s="1952">
        <f t="shared" si="15"/>
        <v>0</v>
      </c>
      <c r="AF56" s="722" t="e">
        <f t="shared" si="21"/>
        <v>#DIV/0!</v>
      </c>
      <c r="AG56" s="722" t="e">
        <f t="shared" si="22"/>
        <v>#DIV/0!</v>
      </c>
      <c r="AH56" s="722" t="e">
        <f t="shared" si="23"/>
        <v>#DIV/0!</v>
      </c>
      <c r="AI56" s="722" t="e">
        <f t="shared" si="24"/>
        <v>#DIV/0!</v>
      </c>
      <c r="AJ56" s="954"/>
      <c r="AK56" s="954"/>
      <c r="AL56" s="954"/>
      <c r="AM56" s="954"/>
      <c r="AN56" s="954"/>
      <c r="AO56" s="963"/>
    </row>
    <row r="57" spans="1:41" x14ac:dyDescent="0.2">
      <c r="A57" s="551" t="str">
        <f>IF(LEN(КАФЕДРА!A57)&gt;2,КАФЕДРА!A57,"")</f>
        <v>Медицины катастроф и безопасности жизнедеятельности</v>
      </c>
      <c r="B57" s="792" t="str">
        <f>КАФЕДРА!$D57</f>
        <v>ОЗДОРОВЬЯ</v>
      </c>
      <c r="C57" s="764">
        <f>IF(LEN(Кадры!$A57)&gt;2,Кадры!$E57,0)</f>
        <v>0</v>
      </c>
      <c r="D57" s="201" t="e">
        <f t="shared" si="8"/>
        <v>#DIV/0!</v>
      </c>
      <c r="E57" s="954" t="e">
        <f t="shared" si="9"/>
        <v>#DIV/0!</v>
      </c>
      <c r="F57" s="1290">
        <v>14</v>
      </c>
      <c r="G57" s="1710"/>
      <c r="H57" s="955">
        <f t="shared" si="26"/>
        <v>0</v>
      </c>
      <c r="I57" s="955">
        <f t="shared" si="26"/>
        <v>0</v>
      </c>
      <c r="J57" s="955">
        <f t="shared" si="26"/>
        <v>0</v>
      </c>
      <c r="K57" s="1718">
        <f t="shared" si="26"/>
        <v>0</v>
      </c>
      <c r="L57" s="2066"/>
      <c r="M57" s="2065"/>
      <c r="N57" s="2066"/>
      <c r="O57" s="2065"/>
      <c r="P57" s="2066"/>
      <c r="Q57" s="2065"/>
      <c r="R57" s="2066"/>
      <c r="S57" s="2065"/>
      <c r="T57" s="2066"/>
      <c r="U57" s="2065"/>
      <c r="V57" s="1962">
        <f t="array" ref="V57">SUM(($L57:$U57)*($L$12:$U$12=V$12))</f>
        <v>0</v>
      </c>
      <c r="W57" s="1725">
        <f t="array" ref="W57">SUM(($L57:$U57)*($L$12:$U$12=W$12))</f>
        <v>0</v>
      </c>
      <c r="X57" s="1725">
        <f t="array" ref="X57">SUM(($L57:$U57)*($L$12:$U$12=X$12))</f>
        <v>0</v>
      </c>
      <c r="Y57" s="1725">
        <f t="array" ref="Y57">SUM(($L57:$U57)*($L$12:$U$12=Y$12))</f>
        <v>0</v>
      </c>
      <c r="Z57" s="1728">
        <f t="array" ref="Z57">SUM(($L57:$U57)*($L$12:$U$12=Z$12))</f>
        <v>0</v>
      </c>
      <c r="AA57" s="1725" t="e">
        <f t="shared" si="11"/>
        <v>#DIV/0!</v>
      </c>
      <c r="AB57" s="1725" t="e">
        <f t="shared" si="12"/>
        <v>#DIV/0!</v>
      </c>
      <c r="AC57" s="1725" t="e">
        <f t="shared" si="13"/>
        <v>#DIV/0!</v>
      </c>
      <c r="AD57" s="1954" t="e">
        <f t="shared" si="14"/>
        <v>#DIV/0!</v>
      </c>
      <c r="AE57" s="1952">
        <f t="shared" si="15"/>
        <v>0</v>
      </c>
      <c r="AF57" s="722" t="e">
        <f t="shared" si="21"/>
        <v>#DIV/0!</v>
      </c>
      <c r="AG57" s="722" t="e">
        <f t="shared" si="22"/>
        <v>#DIV/0!</v>
      </c>
      <c r="AH57" s="722" t="e">
        <f t="shared" si="23"/>
        <v>#DIV/0!</v>
      </c>
      <c r="AI57" s="722" t="e">
        <f t="shared" si="24"/>
        <v>#DIV/0!</v>
      </c>
      <c r="AJ57" s="954"/>
      <c r="AK57" s="954"/>
      <c r="AL57" s="954"/>
      <c r="AM57" s="954"/>
      <c r="AN57" s="954"/>
      <c r="AO57" s="963"/>
    </row>
    <row r="58" spans="1:41" x14ac:dyDescent="0.2">
      <c r="A58" s="551" t="str">
        <f>IF(LEN(КАФЕДРА!A58)&gt;2,КАФЕДРА!A58,"")</f>
        <v>Медицинского права</v>
      </c>
      <c r="B58" s="792" t="str">
        <f>КАФЕДРА!$D58</f>
        <v>ОЗДОРОВЬЯ</v>
      </c>
      <c r="C58" s="764">
        <f>IF(LEN(Кадры!$A58)&gt;2,Кадры!$E58,0)</f>
        <v>0</v>
      </c>
      <c r="D58" s="201" t="e">
        <f t="shared" si="8"/>
        <v>#DIV/0!</v>
      </c>
      <c r="E58" s="954" t="e">
        <f t="shared" si="9"/>
        <v>#DIV/0!</v>
      </c>
      <c r="F58" s="1290">
        <v>14</v>
      </c>
      <c r="G58" s="1710"/>
      <c r="H58" s="955">
        <f t="shared" si="26"/>
        <v>0</v>
      </c>
      <c r="I58" s="955">
        <f t="shared" si="26"/>
        <v>0</v>
      </c>
      <c r="J58" s="955">
        <f t="shared" si="26"/>
        <v>0</v>
      </c>
      <c r="K58" s="1718">
        <f t="shared" si="26"/>
        <v>0</v>
      </c>
      <c r="L58" s="2066"/>
      <c r="M58" s="2065"/>
      <c r="N58" s="2066"/>
      <c r="O58" s="2065"/>
      <c r="P58" s="2066"/>
      <c r="Q58" s="2065"/>
      <c r="R58" s="2066"/>
      <c r="S58" s="2065"/>
      <c r="T58" s="2066"/>
      <c r="U58" s="2065"/>
      <c r="V58" s="1962">
        <f t="array" ref="V58">SUM(($L58:$U58)*($L$12:$U$12=V$12))</f>
        <v>0</v>
      </c>
      <c r="W58" s="1725">
        <f t="array" ref="W58">SUM(($L58:$U58)*($L$12:$U$12=W$12))</f>
        <v>0</v>
      </c>
      <c r="X58" s="1725">
        <f t="array" ref="X58">SUM(($L58:$U58)*($L$12:$U$12=X$12))</f>
        <v>0</v>
      </c>
      <c r="Y58" s="1725">
        <f t="array" ref="Y58">SUM(($L58:$U58)*($L$12:$U$12=Y$12))</f>
        <v>0</v>
      </c>
      <c r="Z58" s="1728">
        <f t="array" ref="Z58">SUM(($L58:$U58)*($L$12:$U$12=Z$12))</f>
        <v>0</v>
      </c>
      <c r="AA58" s="1725" t="e">
        <f t="shared" si="11"/>
        <v>#DIV/0!</v>
      </c>
      <c r="AB58" s="1725" t="e">
        <f t="shared" si="12"/>
        <v>#DIV/0!</v>
      </c>
      <c r="AC58" s="1725" t="e">
        <f t="shared" si="13"/>
        <v>#DIV/0!</v>
      </c>
      <c r="AD58" s="1954" t="e">
        <f t="shared" si="14"/>
        <v>#DIV/0!</v>
      </c>
      <c r="AE58" s="1952">
        <f t="shared" si="15"/>
        <v>0</v>
      </c>
      <c r="AF58" s="722" t="e">
        <f t="shared" si="21"/>
        <v>#DIV/0!</v>
      </c>
      <c r="AG58" s="722" t="e">
        <f t="shared" si="22"/>
        <v>#DIV/0!</v>
      </c>
      <c r="AH58" s="722" t="e">
        <f t="shared" si="23"/>
        <v>#DIV/0!</v>
      </c>
      <c r="AI58" s="722" t="e">
        <f t="shared" si="24"/>
        <v>#DIV/0!</v>
      </c>
      <c r="AJ58" s="954"/>
      <c r="AK58" s="954"/>
      <c r="AL58" s="954"/>
      <c r="AM58" s="954"/>
      <c r="AN58" s="954"/>
      <c r="AO58" s="963"/>
    </row>
    <row r="59" spans="1:41" x14ac:dyDescent="0.2">
      <c r="A59" s="551" t="str">
        <f>IF(LEN(КАФЕДРА!A59)&gt;2,КАФЕДРА!A59,"")</f>
        <v>Общественного здоровья и здравоохранения</v>
      </c>
      <c r="B59" s="792" t="str">
        <f>КАФЕДРА!$D59</f>
        <v>ОЗДОРОВЬЯ</v>
      </c>
      <c r="C59" s="764">
        <f>IF(LEN(Кадры!$A59)&gt;2,Кадры!$E59,0)</f>
        <v>0</v>
      </c>
      <c r="D59" s="201" t="e">
        <f t="shared" si="8"/>
        <v>#DIV/0!</v>
      </c>
      <c r="E59" s="954" t="e">
        <f t="shared" si="9"/>
        <v>#DIV/0!</v>
      </c>
      <c r="F59" s="1290">
        <v>14</v>
      </c>
      <c r="G59" s="1710"/>
      <c r="H59" s="955">
        <f t="shared" si="26"/>
        <v>0</v>
      </c>
      <c r="I59" s="955">
        <f t="shared" si="26"/>
        <v>0</v>
      </c>
      <c r="J59" s="955">
        <f t="shared" si="26"/>
        <v>0</v>
      </c>
      <c r="K59" s="1718">
        <f t="shared" si="26"/>
        <v>0</v>
      </c>
      <c r="L59" s="2066"/>
      <c r="M59" s="2065"/>
      <c r="N59" s="2066"/>
      <c r="O59" s="2065"/>
      <c r="P59" s="2066"/>
      <c r="Q59" s="2065"/>
      <c r="R59" s="2066"/>
      <c r="S59" s="2065"/>
      <c r="T59" s="2066"/>
      <c r="U59" s="2065"/>
      <c r="V59" s="1962">
        <f t="array" ref="V59">SUM(($L59:$U59)*($L$12:$U$12=V$12))</f>
        <v>0</v>
      </c>
      <c r="W59" s="1725">
        <f t="array" ref="W59">SUM(($L59:$U59)*($L$12:$U$12=W$12))</f>
        <v>0</v>
      </c>
      <c r="X59" s="1725">
        <f t="array" ref="X59">SUM(($L59:$U59)*($L$12:$U$12=X$12))</f>
        <v>0</v>
      </c>
      <c r="Y59" s="1725">
        <f t="array" ref="Y59">SUM(($L59:$U59)*($L$12:$U$12=Y$12))</f>
        <v>0</v>
      </c>
      <c r="Z59" s="1728">
        <f t="array" ref="Z59">SUM(($L59:$U59)*($L$12:$U$12=Z$12))</f>
        <v>0</v>
      </c>
      <c r="AA59" s="1725" t="e">
        <f t="shared" si="11"/>
        <v>#DIV/0!</v>
      </c>
      <c r="AB59" s="1725" t="e">
        <f t="shared" si="12"/>
        <v>#DIV/0!</v>
      </c>
      <c r="AC59" s="1725" t="e">
        <f t="shared" si="13"/>
        <v>#DIV/0!</v>
      </c>
      <c r="AD59" s="1954" t="e">
        <f t="shared" si="14"/>
        <v>#DIV/0!</v>
      </c>
      <c r="AE59" s="1952">
        <f t="shared" si="15"/>
        <v>0</v>
      </c>
      <c r="AF59" s="722" t="e">
        <f t="shared" si="21"/>
        <v>#DIV/0!</v>
      </c>
      <c r="AG59" s="722" t="e">
        <f t="shared" si="22"/>
        <v>#DIV/0!</v>
      </c>
      <c r="AH59" s="722" t="e">
        <f t="shared" si="23"/>
        <v>#DIV/0!</v>
      </c>
      <c r="AI59" s="722" t="e">
        <f t="shared" si="24"/>
        <v>#DIV/0!</v>
      </c>
      <c r="AJ59" s="954"/>
      <c r="AK59" s="954"/>
      <c r="AL59" s="954"/>
      <c r="AM59" s="954"/>
      <c r="AN59" s="954"/>
      <c r="AO59" s="963"/>
    </row>
    <row r="60" spans="1:41" x14ac:dyDescent="0.2">
      <c r="A60" s="551" t="str">
        <f>IF(LEN(КАФЕДРА!A60)&gt;2,КАФЕДРА!A60,"")</f>
        <v>Пульмонологии и фтизиатрии с курсом ДПО</v>
      </c>
      <c r="B60" s="792" t="str">
        <f>КАФЕДРА!$D60</f>
        <v>ОЗДОРОВЬЯ</v>
      </c>
      <c r="C60" s="764">
        <f>IF(LEN(Кадры!$A60)&gt;2,Кадры!$E60,0)</f>
        <v>0</v>
      </c>
      <c r="D60" s="201" t="e">
        <f t="shared" si="8"/>
        <v>#DIV/0!</v>
      </c>
      <c r="E60" s="954" t="e">
        <f t="shared" si="9"/>
        <v>#DIV/0!</v>
      </c>
      <c r="F60" s="1290">
        <v>14</v>
      </c>
      <c r="G60" s="1710"/>
      <c r="H60" s="955">
        <f t="shared" si="26"/>
        <v>0</v>
      </c>
      <c r="I60" s="955">
        <f t="shared" si="26"/>
        <v>0</v>
      </c>
      <c r="J60" s="955">
        <f t="shared" si="26"/>
        <v>0</v>
      </c>
      <c r="K60" s="1718">
        <f t="shared" si="26"/>
        <v>0</v>
      </c>
      <c r="L60" s="2066"/>
      <c r="M60" s="2065"/>
      <c r="N60" s="2066"/>
      <c r="O60" s="2065"/>
      <c r="P60" s="2066"/>
      <c r="Q60" s="2065"/>
      <c r="R60" s="2066"/>
      <c r="S60" s="2065"/>
      <c r="T60" s="2066"/>
      <c r="U60" s="2065"/>
      <c r="V60" s="1962">
        <f t="array" ref="V60">SUM(($L60:$U60)*($L$12:$U$12=V$12))</f>
        <v>0</v>
      </c>
      <c r="W60" s="1725">
        <f t="array" ref="W60">SUM(($L60:$U60)*($L$12:$U$12=W$12))</f>
        <v>0</v>
      </c>
      <c r="X60" s="1725">
        <f t="array" ref="X60">SUM(($L60:$U60)*($L$12:$U$12=X$12))</f>
        <v>0</v>
      </c>
      <c r="Y60" s="1725">
        <f t="array" ref="Y60">SUM(($L60:$U60)*($L$12:$U$12=Y$12))</f>
        <v>0</v>
      </c>
      <c r="Z60" s="1728">
        <f t="array" ref="Z60">SUM(($L60:$U60)*($L$12:$U$12=Z$12))</f>
        <v>0</v>
      </c>
      <c r="AA60" s="1725" t="e">
        <f t="shared" si="11"/>
        <v>#DIV/0!</v>
      </c>
      <c r="AB60" s="1725" t="e">
        <f t="shared" si="12"/>
        <v>#DIV/0!</v>
      </c>
      <c r="AC60" s="1725" t="e">
        <f t="shared" si="13"/>
        <v>#DIV/0!</v>
      </c>
      <c r="AD60" s="1954" t="e">
        <f t="shared" si="14"/>
        <v>#DIV/0!</v>
      </c>
      <c r="AE60" s="1952">
        <f t="shared" si="15"/>
        <v>0</v>
      </c>
      <c r="AF60" s="722" t="e">
        <f t="shared" si="21"/>
        <v>#DIV/0!</v>
      </c>
      <c r="AG60" s="722" t="e">
        <f t="shared" si="22"/>
        <v>#DIV/0!</v>
      </c>
      <c r="AH60" s="722" t="e">
        <f t="shared" si="23"/>
        <v>#DIV/0!</v>
      </c>
      <c r="AI60" s="722" t="e">
        <f t="shared" si="24"/>
        <v>#DIV/0!</v>
      </c>
      <c r="AJ60" s="954"/>
      <c r="AK60" s="954"/>
      <c r="AL60" s="954"/>
      <c r="AM60" s="954"/>
      <c r="AN60" s="954"/>
      <c r="AO60" s="963"/>
    </row>
    <row r="61" spans="1:41" x14ac:dyDescent="0.2">
      <c r="A61" s="551" t="str">
        <f>IF(LEN(КАФЕДРА!A61)&gt;2,КАФЕДРА!A61,"")</f>
        <v>Эпидемиологии, микробиологии и вирусологии</v>
      </c>
      <c r="B61" s="792" t="str">
        <f>КАФЕДРА!$D61</f>
        <v>ОЗДОРОВЬЯ</v>
      </c>
      <c r="C61" s="764">
        <f>IF(LEN(Кадры!$A61)&gt;2,Кадры!$E61,0)</f>
        <v>0</v>
      </c>
      <c r="D61" s="201" t="e">
        <f t="shared" si="8"/>
        <v>#DIV/0!</v>
      </c>
      <c r="E61" s="954" t="e">
        <f t="shared" si="9"/>
        <v>#DIV/0!</v>
      </c>
      <c r="F61" s="1290">
        <v>14</v>
      </c>
      <c r="G61" s="1710"/>
      <c r="H61" s="955">
        <f t="shared" si="26"/>
        <v>0</v>
      </c>
      <c r="I61" s="955">
        <f t="shared" si="26"/>
        <v>0</v>
      </c>
      <c r="J61" s="955">
        <f t="shared" si="26"/>
        <v>0</v>
      </c>
      <c r="K61" s="1718">
        <f t="shared" si="26"/>
        <v>0</v>
      </c>
      <c r="L61" s="2066"/>
      <c r="M61" s="2065"/>
      <c r="N61" s="2066"/>
      <c r="O61" s="2065"/>
      <c r="P61" s="2066"/>
      <c r="Q61" s="2065"/>
      <c r="R61" s="2066"/>
      <c r="S61" s="2065"/>
      <c r="T61" s="2066"/>
      <c r="U61" s="2065"/>
      <c r="V61" s="1962">
        <f t="array" ref="V61">SUM(($L61:$U61)*($L$12:$U$12=V$12))</f>
        <v>0</v>
      </c>
      <c r="W61" s="1725">
        <f t="array" ref="W61">SUM(($L61:$U61)*($L$12:$U$12=W$12))</f>
        <v>0</v>
      </c>
      <c r="X61" s="1725">
        <f t="array" ref="X61">SUM(($L61:$U61)*($L$12:$U$12=X$12))</f>
        <v>0</v>
      </c>
      <c r="Y61" s="1725">
        <f t="array" ref="Y61">SUM(($L61:$U61)*($L$12:$U$12=Y$12))</f>
        <v>0</v>
      </c>
      <c r="Z61" s="1728">
        <f t="array" ref="Z61">SUM(($L61:$U61)*($L$12:$U$12=Z$12))</f>
        <v>0</v>
      </c>
      <c r="AA61" s="1725" t="e">
        <f t="shared" si="11"/>
        <v>#DIV/0!</v>
      </c>
      <c r="AB61" s="1725" t="e">
        <f t="shared" si="12"/>
        <v>#DIV/0!</v>
      </c>
      <c r="AC61" s="1725" t="e">
        <f t="shared" si="13"/>
        <v>#DIV/0!</v>
      </c>
      <c r="AD61" s="1954" t="e">
        <f t="shared" si="14"/>
        <v>#DIV/0!</v>
      </c>
      <c r="AE61" s="1952">
        <f t="shared" si="15"/>
        <v>0</v>
      </c>
      <c r="AF61" s="722" t="e">
        <f t="shared" si="21"/>
        <v>#DIV/0!</v>
      </c>
      <c r="AG61" s="722" t="e">
        <f t="shared" si="22"/>
        <v>#DIV/0!</v>
      </c>
      <c r="AH61" s="722" t="e">
        <f t="shared" si="23"/>
        <v>#DIV/0!</v>
      </c>
      <c r="AI61" s="722" t="e">
        <f t="shared" si="24"/>
        <v>#DIV/0!</v>
      </c>
      <c r="AJ61" s="954"/>
      <c r="AK61" s="954"/>
      <c r="AL61" s="954"/>
      <c r="AM61" s="954"/>
      <c r="AN61" s="954"/>
      <c r="AO61" s="963"/>
    </row>
    <row r="62" spans="1:41" ht="15" thickBot="1" x14ac:dyDescent="0.25">
      <c r="A62" s="553" t="str">
        <f>IF(LEN(КАФЕДРА!A62)&gt;2,КАФЕДРА!A62,"")</f>
        <v>Социально-гуманитарных наук</v>
      </c>
      <c r="B62" s="793" t="str">
        <f>КАФЕДРА!$D62</f>
        <v>ОЗДОРОВЬЯ</v>
      </c>
      <c r="C62" s="927">
        <f>IF(LEN(Кадры!$A62)&gt;2,Кадры!$E62,0)</f>
        <v>0</v>
      </c>
      <c r="D62" s="1965" t="e">
        <f t="shared" si="8"/>
        <v>#DIV/0!</v>
      </c>
      <c r="E62" s="1955" t="e">
        <f t="shared" si="9"/>
        <v>#DIV/0!</v>
      </c>
      <c r="F62" s="1296">
        <v>14</v>
      </c>
      <c r="G62" s="1711"/>
      <c r="H62" s="956">
        <f t="shared" si="26"/>
        <v>0</v>
      </c>
      <c r="I62" s="956">
        <f t="shared" si="26"/>
        <v>0</v>
      </c>
      <c r="J62" s="956">
        <f t="shared" si="26"/>
        <v>0</v>
      </c>
      <c r="K62" s="1719">
        <f t="shared" si="26"/>
        <v>0</v>
      </c>
      <c r="L62" s="2069"/>
      <c r="M62" s="2070"/>
      <c r="N62" s="2069"/>
      <c r="O62" s="2070"/>
      <c r="P62" s="2069"/>
      <c r="Q62" s="2070"/>
      <c r="R62" s="2069"/>
      <c r="S62" s="2070"/>
      <c r="T62" s="2069"/>
      <c r="U62" s="2070"/>
      <c r="V62" s="1956">
        <f t="array" ref="V62">SUM(($L62:$U62)*($L$12:$U$12=V$12))</f>
        <v>0</v>
      </c>
      <c r="W62" s="1956">
        <f t="array" ref="W62">SUM(($L62:$U62)*($L$12:$U$12=W$12))</f>
        <v>0</v>
      </c>
      <c r="X62" s="1956">
        <f t="array" ref="X62">SUM(($L62:$U62)*($L$12:$U$12=X$12))</f>
        <v>0</v>
      </c>
      <c r="Y62" s="1956">
        <f t="array" ref="Y62">SUM(($L62:$U62)*($L$12:$U$12=Y$12))</f>
        <v>0</v>
      </c>
      <c r="Z62" s="1729">
        <f t="array" ref="Z62">SUM(($L62:$U62)*($L$12:$U$12=Z$12))</f>
        <v>0</v>
      </c>
      <c r="AA62" s="1956" t="e">
        <f t="shared" si="11"/>
        <v>#DIV/0!</v>
      </c>
      <c r="AB62" s="1956" t="e">
        <f t="shared" si="12"/>
        <v>#DIV/0!</v>
      </c>
      <c r="AC62" s="1956" t="e">
        <f t="shared" si="13"/>
        <v>#DIV/0!</v>
      </c>
      <c r="AD62" s="1957" t="e">
        <f t="shared" si="14"/>
        <v>#DIV/0!</v>
      </c>
      <c r="AE62" s="1958">
        <f t="shared" si="15"/>
        <v>0</v>
      </c>
      <c r="AF62" s="1959" t="e">
        <f t="shared" si="21"/>
        <v>#DIV/0!</v>
      </c>
      <c r="AG62" s="1959" t="e">
        <f t="shared" si="22"/>
        <v>#DIV/0!</v>
      </c>
      <c r="AH62" s="1959" t="e">
        <f t="shared" si="23"/>
        <v>#DIV/0!</v>
      </c>
      <c r="AI62" s="1959" t="e">
        <f t="shared" si="24"/>
        <v>#DIV/0!</v>
      </c>
      <c r="AJ62" s="954"/>
      <c r="AK62" s="954"/>
      <c r="AL62" s="954"/>
      <c r="AM62" s="954"/>
      <c r="AN62" s="954"/>
      <c r="AO62" s="963"/>
    </row>
    <row r="63" spans="1:41" ht="15" thickBot="1" x14ac:dyDescent="0.25">
      <c r="A63" s="597" t="str">
        <f>IF(LEN(КАФЕДРА!A63)&gt;2,КАФЕДРА!A63,"")</f>
        <v>Сестринского дела</v>
      </c>
      <c r="B63" s="807" t="str">
        <f>КАФЕДРА!$D63</f>
        <v>СПО</v>
      </c>
      <c r="C63" s="931">
        <f>IF(LEN(Кадры!$A63)&gt;2,Кадры!$E63,0)</f>
        <v>0</v>
      </c>
      <c r="D63" s="880" t="e">
        <f t="shared" si="8"/>
        <v>#DIV/0!</v>
      </c>
      <c r="E63" s="374" t="e">
        <f t="shared" si="9"/>
        <v>#DIV/0!</v>
      </c>
      <c r="F63" s="1310">
        <v>14</v>
      </c>
      <c r="G63" s="1714"/>
      <c r="H63" s="959">
        <f t="shared" si="26"/>
        <v>0</v>
      </c>
      <c r="I63" s="959">
        <f t="shared" si="26"/>
        <v>0</v>
      </c>
      <c r="J63" s="959">
        <f t="shared" si="26"/>
        <v>0</v>
      </c>
      <c r="K63" s="1721">
        <f t="shared" si="26"/>
        <v>0</v>
      </c>
      <c r="L63" s="2071"/>
      <c r="M63" s="2072"/>
      <c r="N63" s="2071"/>
      <c r="O63" s="2072"/>
      <c r="P63" s="2071"/>
      <c r="Q63" s="2072"/>
      <c r="R63" s="2071"/>
      <c r="S63" s="2072"/>
      <c r="T63" s="2071"/>
      <c r="U63" s="2072"/>
      <c r="V63" s="1723">
        <f t="array" ref="V63">SUM(($L63:$U63)*($L$12:$U$12=V$12))</f>
        <v>0</v>
      </c>
      <c r="W63" s="1723">
        <f t="array" ref="W63">SUM(($L63:$U63)*($L$12:$U$12=W$12))</f>
        <v>0</v>
      </c>
      <c r="X63" s="1723">
        <f t="array" ref="X63">SUM(($L63:$U63)*($L$12:$U$12=X$12))</f>
        <v>0</v>
      </c>
      <c r="Y63" s="1723">
        <f t="array" ref="Y63">SUM(($L63:$U63)*($L$12:$U$12=Y$12))</f>
        <v>0</v>
      </c>
      <c r="Z63" s="1730">
        <f t="array" ref="Z63">SUM(($L63:$U63)*($L$12:$U$12=Z$12))</f>
        <v>0</v>
      </c>
      <c r="AA63" s="1723" t="e">
        <f t="shared" si="11"/>
        <v>#DIV/0!</v>
      </c>
      <c r="AB63" s="1723" t="e">
        <f t="shared" si="12"/>
        <v>#DIV/0!</v>
      </c>
      <c r="AC63" s="1723" t="e">
        <f t="shared" si="13"/>
        <v>#DIV/0!</v>
      </c>
      <c r="AD63" s="1960" t="e">
        <f t="shared" si="14"/>
        <v>#DIV/0!</v>
      </c>
      <c r="AE63" s="1961">
        <f t="shared" si="15"/>
        <v>0</v>
      </c>
      <c r="AF63" s="966" t="e">
        <f t="shared" si="21"/>
        <v>#DIV/0!</v>
      </c>
      <c r="AG63" s="966" t="e">
        <f t="shared" si="22"/>
        <v>#DIV/0!</v>
      </c>
      <c r="AH63" s="966" t="e">
        <f t="shared" si="23"/>
        <v>#DIV/0!</v>
      </c>
      <c r="AI63" s="966" t="e">
        <f t="shared" si="24"/>
        <v>#DIV/0!</v>
      </c>
      <c r="AJ63" s="954"/>
      <c r="AK63" s="954"/>
      <c r="AL63" s="954"/>
      <c r="AM63" s="954"/>
      <c r="AN63" s="954"/>
      <c r="AO63" s="963"/>
    </row>
    <row r="64" spans="1:41" x14ac:dyDescent="0.2">
      <c r="A64" s="552" t="str">
        <f>IF(LEN(КАФЕДРА!A64)&gt;2,КАФЕДРА!A64,"")</f>
        <v>Биологической химии, клинической лабораторной диагностики</v>
      </c>
      <c r="B64" s="805" t="str">
        <f>КАФЕДРА!$D64</f>
        <v>ФАРМ</v>
      </c>
      <c r="C64" s="783">
        <f>IF(LEN(Кадры!$A64)&gt;2,Кадры!$E64,0)</f>
        <v>0</v>
      </c>
      <c r="D64" s="1963" t="e">
        <f t="shared" si="8"/>
        <v>#DIV/0!</v>
      </c>
      <c r="E64" s="1964" t="e">
        <f t="shared" si="9"/>
        <v>#DIV/0!</v>
      </c>
      <c r="F64" s="1290">
        <v>14</v>
      </c>
      <c r="G64" s="1712"/>
      <c r="H64" s="957">
        <f t="shared" si="26"/>
        <v>0</v>
      </c>
      <c r="I64" s="957">
        <f t="shared" si="26"/>
        <v>0</v>
      </c>
      <c r="J64" s="957">
        <f t="shared" si="26"/>
        <v>0</v>
      </c>
      <c r="K64" s="1722">
        <f t="shared" si="26"/>
        <v>0</v>
      </c>
      <c r="L64" s="2067"/>
      <c r="M64" s="2068"/>
      <c r="N64" s="2067"/>
      <c r="O64" s="2068"/>
      <c r="P64" s="2067"/>
      <c r="Q64" s="2068"/>
      <c r="R64" s="2067"/>
      <c r="S64" s="2068"/>
      <c r="T64" s="2067"/>
      <c r="U64" s="2068"/>
      <c r="V64" s="1962">
        <f t="array" ref="V64">SUM(($L64:$U64)*($L$12:$U$12=V$12))</f>
        <v>0</v>
      </c>
      <c r="W64" s="1725">
        <f t="array" ref="W64">SUM(($L64:$U64)*($L$12:$U$12=W$12))</f>
        <v>0</v>
      </c>
      <c r="X64" s="1725">
        <f t="array" ref="X64">SUM(($L64:$U64)*($L$12:$U$12=X$12))</f>
        <v>0</v>
      </c>
      <c r="Y64" s="1725">
        <f t="array" ref="Y64">SUM(($L64:$U64)*($L$12:$U$12=Y$12))</f>
        <v>0</v>
      </c>
      <c r="Z64" s="1728">
        <f t="array" ref="Z64">SUM(($L64:$U64)*($L$12:$U$12=Z$12))</f>
        <v>0</v>
      </c>
      <c r="AA64" s="1725" t="e">
        <f t="shared" si="11"/>
        <v>#DIV/0!</v>
      </c>
      <c r="AB64" s="1725" t="e">
        <f t="shared" si="12"/>
        <v>#DIV/0!</v>
      </c>
      <c r="AC64" s="1725" t="e">
        <f t="shared" si="13"/>
        <v>#DIV/0!</v>
      </c>
      <c r="AD64" s="1954" t="e">
        <f t="shared" si="14"/>
        <v>#DIV/0!</v>
      </c>
      <c r="AE64" s="1952">
        <f t="shared" si="15"/>
        <v>0</v>
      </c>
      <c r="AF64" s="722" t="e">
        <f t="shared" si="21"/>
        <v>#DIV/0!</v>
      </c>
      <c r="AG64" s="722" t="e">
        <f t="shared" si="22"/>
        <v>#DIV/0!</v>
      </c>
      <c r="AH64" s="722" t="e">
        <f t="shared" si="23"/>
        <v>#DIV/0!</v>
      </c>
      <c r="AI64" s="722" t="e">
        <f t="shared" si="24"/>
        <v>#DIV/0!</v>
      </c>
      <c r="AJ64" s="954"/>
      <c r="AK64" s="954"/>
      <c r="AL64" s="954"/>
      <c r="AM64" s="954"/>
      <c r="AN64" s="954"/>
      <c r="AO64" s="963"/>
    </row>
    <row r="65" spans="1:70" x14ac:dyDescent="0.2">
      <c r="A65" s="551" t="str">
        <f>IF(LEN(КАФЕДРА!A65)&gt;2,КАФЕДРА!A65,"")</f>
        <v>Химии</v>
      </c>
      <c r="B65" s="797" t="str">
        <f>КАФЕДРА!$D65</f>
        <v>ФАРМ</v>
      </c>
      <c r="C65" s="764">
        <f>IF(LEN(Кадры!$A65)&gt;2,Кадры!$E65,0)</f>
        <v>0</v>
      </c>
      <c r="D65" s="201" t="e">
        <f t="shared" si="8"/>
        <v>#DIV/0!</v>
      </c>
      <c r="E65" s="954" t="e">
        <f t="shared" si="9"/>
        <v>#DIV/0!</v>
      </c>
      <c r="F65" s="1290">
        <v>14</v>
      </c>
      <c r="G65" s="1710"/>
      <c r="H65" s="955">
        <f t="shared" si="26"/>
        <v>0</v>
      </c>
      <c r="I65" s="955">
        <f t="shared" si="26"/>
        <v>0</v>
      </c>
      <c r="J65" s="955">
        <f t="shared" si="26"/>
        <v>0</v>
      </c>
      <c r="K65" s="1718">
        <f t="shared" si="26"/>
        <v>0</v>
      </c>
      <c r="L65" s="2066"/>
      <c r="M65" s="2065"/>
      <c r="N65" s="2066"/>
      <c r="O65" s="2065"/>
      <c r="P65" s="2066"/>
      <c r="Q65" s="2065"/>
      <c r="R65" s="2066"/>
      <c r="S65" s="2065"/>
      <c r="T65" s="2066"/>
      <c r="U65" s="2065"/>
      <c r="V65" s="1962">
        <f t="array" ref="V65">SUM(($L65:$U65)*($L$12:$U$12=V$12))</f>
        <v>0</v>
      </c>
      <c r="W65" s="1725">
        <f t="array" ref="W65">SUM(($L65:$U65)*($L$12:$U$12=W$12))</f>
        <v>0</v>
      </c>
      <c r="X65" s="1725">
        <f t="array" ref="X65">SUM(($L65:$U65)*($L$12:$U$12=X$12))</f>
        <v>0</v>
      </c>
      <c r="Y65" s="1725">
        <f t="array" ref="Y65">SUM(($L65:$U65)*($L$12:$U$12=Y$12))</f>
        <v>0</v>
      </c>
      <c r="Z65" s="1728">
        <f t="array" ref="Z65">SUM(($L65:$U65)*($L$12:$U$12=Z$12))</f>
        <v>0</v>
      </c>
      <c r="AA65" s="1725" t="e">
        <f t="shared" si="11"/>
        <v>#DIV/0!</v>
      </c>
      <c r="AB65" s="1725" t="e">
        <f t="shared" si="12"/>
        <v>#DIV/0!</v>
      </c>
      <c r="AC65" s="1725" t="e">
        <f t="shared" si="13"/>
        <v>#DIV/0!</v>
      </c>
      <c r="AD65" s="1954" t="e">
        <f t="shared" si="14"/>
        <v>#DIV/0!</v>
      </c>
      <c r="AE65" s="1952">
        <f t="shared" si="15"/>
        <v>0</v>
      </c>
      <c r="AF65" s="722" t="e">
        <f t="shared" si="21"/>
        <v>#DIV/0!</v>
      </c>
      <c r="AG65" s="722" t="e">
        <f t="shared" si="22"/>
        <v>#DIV/0!</v>
      </c>
      <c r="AH65" s="722" t="e">
        <f t="shared" si="23"/>
        <v>#DIV/0!</v>
      </c>
      <c r="AI65" s="722" t="e">
        <f t="shared" si="24"/>
        <v>#DIV/0!</v>
      </c>
      <c r="AJ65" s="954"/>
      <c r="AK65" s="954"/>
      <c r="AL65" s="954"/>
      <c r="AM65" s="954"/>
      <c r="AN65" s="954"/>
      <c r="AO65" s="963"/>
    </row>
    <row r="66" spans="1:70" x14ac:dyDescent="0.2">
      <c r="A66" s="551" t="str">
        <f>IF(LEN(КАФЕДРА!A66)&gt;2,КАФЕДРА!A66,"")</f>
        <v>Фармакологии имени профессора В.М. Брюханова</v>
      </c>
      <c r="B66" s="797" t="str">
        <f>КАФЕДРА!$D66</f>
        <v>ФАРМ</v>
      </c>
      <c r="C66" s="764">
        <f>IF(LEN(Кадры!$A66)&gt;2,Кадры!$E66,0)</f>
        <v>0</v>
      </c>
      <c r="D66" s="201" t="e">
        <f t="shared" si="8"/>
        <v>#DIV/0!</v>
      </c>
      <c r="E66" s="954" t="e">
        <f t="shared" si="9"/>
        <v>#DIV/0!</v>
      </c>
      <c r="F66" s="1290">
        <v>14</v>
      </c>
      <c r="G66" s="1710"/>
      <c r="H66" s="955">
        <f t="shared" si="26"/>
        <v>0</v>
      </c>
      <c r="I66" s="955">
        <f t="shared" si="26"/>
        <v>0</v>
      </c>
      <c r="J66" s="955">
        <f t="shared" si="26"/>
        <v>0</v>
      </c>
      <c r="K66" s="1718">
        <f t="shared" si="26"/>
        <v>0</v>
      </c>
      <c r="L66" s="2066"/>
      <c r="M66" s="2065"/>
      <c r="N66" s="2066"/>
      <c r="O66" s="2065"/>
      <c r="P66" s="2066"/>
      <c r="Q66" s="2065"/>
      <c r="R66" s="2066"/>
      <c r="S66" s="2065"/>
      <c r="T66" s="2066"/>
      <c r="U66" s="2065"/>
      <c r="V66" s="1962">
        <f t="array" ref="V66">SUM(($L66:$U66)*($L$12:$U$12=V$12))</f>
        <v>0</v>
      </c>
      <c r="W66" s="1725">
        <f t="array" ref="W66">SUM(($L66:$U66)*($L$12:$U$12=W$12))</f>
        <v>0</v>
      </c>
      <c r="X66" s="1725">
        <f t="array" ref="X66">SUM(($L66:$U66)*($L$12:$U$12=X$12))</f>
        <v>0</v>
      </c>
      <c r="Y66" s="1725">
        <f t="array" ref="Y66">SUM(($L66:$U66)*($L$12:$U$12=Y$12))</f>
        <v>0</v>
      </c>
      <c r="Z66" s="1728">
        <f t="array" ref="Z66">SUM(($L66:$U66)*($L$12:$U$12=Z$12))</f>
        <v>0</v>
      </c>
      <c r="AA66" s="1725" t="e">
        <f t="shared" si="11"/>
        <v>#DIV/0!</v>
      </c>
      <c r="AB66" s="1725" t="e">
        <f t="shared" si="12"/>
        <v>#DIV/0!</v>
      </c>
      <c r="AC66" s="1725" t="e">
        <f t="shared" si="13"/>
        <v>#DIV/0!</v>
      </c>
      <c r="AD66" s="1954" t="e">
        <f t="shared" si="14"/>
        <v>#DIV/0!</v>
      </c>
      <c r="AE66" s="1952">
        <f t="shared" si="15"/>
        <v>0</v>
      </c>
      <c r="AF66" s="722" t="e">
        <f t="shared" si="21"/>
        <v>#DIV/0!</v>
      </c>
      <c r="AG66" s="722" t="e">
        <f t="shared" si="22"/>
        <v>#DIV/0!</v>
      </c>
      <c r="AH66" s="722" t="e">
        <f t="shared" si="23"/>
        <v>#DIV/0!</v>
      </c>
      <c r="AI66" s="722" t="e">
        <f t="shared" si="24"/>
        <v>#DIV/0!</v>
      </c>
      <c r="AJ66" s="954"/>
      <c r="AK66" s="954"/>
      <c r="AL66" s="954"/>
      <c r="AM66" s="954"/>
      <c r="AN66" s="954"/>
      <c r="AO66" s="963"/>
    </row>
    <row r="67" spans="1:70" x14ac:dyDescent="0.2">
      <c r="A67" s="551" t="str">
        <f>IF(LEN(КАФЕДРА!A67)&gt;2,КАФЕДРА!A67,"")</f>
        <v>Фармации</v>
      </c>
      <c r="B67" s="797" t="str">
        <f>КАФЕДРА!$D67</f>
        <v>ФАРМ</v>
      </c>
      <c r="C67" s="764">
        <f>IF(LEN(Кадры!$A67)&gt;2,Кадры!$E67,0)</f>
        <v>0</v>
      </c>
      <c r="D67" s="201" t="e">
        <f t="shared" si="8"/>
        <v>#DIV/0!</v>
      </c>
      <c r="E67" s="954" t="e">
        <f t="shared" si="9"/>
        <v>#DIV/0!</v>
      </c>
      <c r="F67" s="1290">
        <v>14</v>
      </c>
      <c r="G67" s="1710"/>
      <c r="H67" s="955">
        <f t="shared" si="26"/>
        <v>0</v>
      </c>
      <c r="I67" s="955">
        <f t="shared" si="26"/>
        <v>0</v>
      </c>
      <c r="J67" s="955">
        <f t="shared" si="26"/>
        <v>0</v>
      </c>
      <c r="K67" s="1718">
        <f t="shared" si="26"/>
        <v>0</v>
      </c>
      <c r="L67" s="2066"/>
      <c r="M67" s="2065"/>
      <c r="N67" s="2066"/>
      <c r="O67" s="2065"/>
      <c r="P67" s="2066"/>
      <c r="Q67" s="2065"/>
      <c r="R67" s="2066"/>
      <c r="S67" s="2065"/>
      <c r="T67" s="2066"/>
      <c r="U67" s="2065"/>
      <c r="V67" s="1962">
        <f t="array" ref="V67">SUM(($L67:$U67)*($L$12:$U$12=V$12))</f>
        <v>0</v>
      </c>
      <c r="W67" s="1725">
        <f t="array" ref="W67">SUM(($L67:$U67)*($L$12:$U$12=W$12))</f>
        <v>0</v>
      </c>
      <c r="X67" s="1725">
        <f t="array" ref="X67">SUM(($L67:$U67)*($L$12:$U$12=X$12))</f>
        <v>0</v>
      </c>
      <c r="Y67" s="1725">
        <f t="array" ref="Y67">SUM(($L67:$U67)*($L$12:$U$12=Y$12))</f>
        <v>0</v>
      </c>
      <c r="Z67" s="1728">
        <f t="array" ref="Z67">SUM(($L67:$U67)*($L$12:$U$12=Z$12))</f>
        <v>0</v>
      </c>
      <c r="AA67" s="1725" t="e">
        <f t="shared" si="11"/>
        <v>#DIV/0!</v>
      </c>
      <c r="AB67" s="1725" t="e">
        <f t="shared" si="12"/>
        <v>#DIV/0!</v>
      </c>
      <c r="AC67" s="1725" t="e">
        <f t="shared" si="13"/>
        <v>#DIV/0!</v>
      </c>
      <c r="AD67" s="1954" t="e">
        <f t="shared" si="14"/>
        <v>#DIV/0!</v>
      </c>
      <c r="AE67" s="1952">
        <f t="shared" si="15"/>
        <v>0</v>
      </c>
      <c r="AF67" s="722" t="e">
        <f t="shared" si="21"/>
        <v>#DIV/0!</v>
      </c>
      <c r="AG67" s="722" t="e">
        <f t="shared" si="22"/>
        <v>#DIV/0!</v>
      </c>
      <c r="AH67" s="722" t="e">
        <f t="shared" si="23"/>
        <v>#DIV/0!</v>
      </c>
      <c r="AI67" s="722" t="e">
        <f t="shared" si="24"/>
        <v>#DIV/0!</v>
      </c>
      <c r="AJ67" s="954"/>
      <c r="AK67" s="954"/>
      <c r="AL67" s="954"/>
      <c r="AM67" s="954"/>
      <c r="AN67" s="954"/>
      <c r="AO67" s="963"/>
    </row>
    <row r="68" spans="1:70" ht="15" thickBot="1" x14ac:dyDescent="0.25">
      <c r="A68" s="553" t="str">
        <f>IF(LEN(КАФЕДРА!A68)&gt;2,КАФЕДРА!A68,"")</f>
        <v>Физики и информатики</v>
      </c>
      <c r="B68" s="798" t="str">
        <f>КАФЕДРА!$D68</f>
        <v>ФАРМ</v>
      </c>
      <c r="C68" s="191">
        <f>IF(LEN(Кадры!$A68)&gt;2,Кадры!$E68,0)</f>
        <v>0</v>
      </c>
      <c r="D68" s="1965" t="e">
        <f t="shared" si="8"/>
        <v>#DIV/0!</v>
      </c>
      <c r="E68" s="1955" t="e">
        <f t="shared" si="9"/>
        <v>#DIV/0!</v>
      </c>
      <c r="F68" s="1296">
        <v>14</v>
      </c>
      <c r="G68" s="1711"/>
      <c r="H68" s="956">
        <f t="shared" si="26"/>
        <v>0</v>
      </c>
      <c r="I68" s="956">
        <f t="shared" si="26"/>
        <v>0</v>
      </c>
      <c r="J68" s="956">
        <f t="shared" si="26"/>
        <v>0</v>
      </c>
      <c r="K68" s="1719">
        <f t="shared" si="26"/>
        <v>0</v>
      </c>
      <c r="L68" s="2069"/>
      <c r="M68" s="2070"/>
      <c r="N68" s="2069"/>
      <c r="O68" s="2070"/>
      <c r="P68" s="2069"/>
      <c r="Q68" s="2070"/>
      <c r="R68" s="2069"/>
      <c r="S68" s="2070"/>
      <c r="T68" s="2069"/>
      <c r="U68" s="2070"/>
      <c r="V68" s="1956">
        <f t="array" ref="V68">SUM(($L68:$U68)*($L$12:$U$12=V$12))</f>
        <v>0</v>
      </c>
      <c r="W68" s="1956">
        <f t="array" ref="W68">SUM(($L68:$U68)*($L$12:$U$12=W$12))</f>
        <v>0</v>
      </c>
      <c r="X68" s="1956">
        <f t="array" ref="X68">SUM(($L68:$U68)*($L$12:$U$12=X$12))</f>
        <v>0</v>
      </c>
      <c r="Y68" s="1956">
        <f t="array" ref="Y68">SUM(($L68:$U68)*($L$12:$U$12=Y$12))</f>
        <v>0</v>
      </c>
      <c r="Z68" s="1729">
        <f t="array" ref="Z68">SUM(($L68:$U68)*($L$12:$U$12=Z$12))</f>
        <v>0</v>
      </c>
      <c r="AA68" s="1956" t="e">
        <f t="shared" si="11"/>
        <v>#DIV/0!</v>
      </c>
      <c r="AB68" s="1956" t="e">
        <f t="shared" si="12"/>
        <v>#DIV/0!</v>
      </c>
      <c r="AC68" s="1956" t="e">
        <f t="shared" si="13"/>
        <v>#DIV/0!</v>
      </c>
      <c r="AD68" s="1957" t="e">
        <f t="shared" si="14"/>
        <v>#DIV/0!</v>
      </c>
      <c r="AE68" s="1958">
        <f t="shared" si="15"/>
        <v>0</v>
      </c>
      <c r="AF68" s="1959" t="e">
        <f t="shared" si="21"/>
        <v>#DIV/0!</v>
      </c>
      <c r="AG68" s="1959" t="e">
        <f t="shared" si="22"/>
        <v>#DIV/0!</v>
      </c>
      <c r="AH68" s="1959" t="e">
        <f t="shared" si="23"/>
        <v>#DIV/0!</v>
      </c>
      <c r="AI68" s="1959" t="e">
        <f t="shared" si="24"/>
        <v>#DIV/0!</v>
      </c>
      <c r="AJ68" s="954"/>
      <c r="AK68" s="954"/>
      <c r="AL68" s="954"/>
      <c r="AM68" s="954"/>
      <c r="AN68" s="954"/>
      <c r="AO68" s="963"/>
    </row>
    <row r="69" spans="1:70" x14ac:dyDescent="0.2">
      <c r="A69" s="582" t="str">
        <f>IF(LEN(КАФЕДРА!A69)&gt;2,КАФЕДРА!A69,"")</f>
        <v>Клинической психологии</v>
      </c>
      <c r="B69" s="799" t="str">
        <f>КАФЕДРА!$D69</f>
        <v>КПСИХОЛОГИИ</v>
      </c>
      <c r="C69" s="370">
        <f>IF(LEN(Кадры!$A69)&gt;2,Кадры!$E69,0)</f>
        <v>0</v>
      </c>
      <c r="D69" s="1963" t="e">
        <f t="shared" si="8"/>
        <v>#DIV/0!</v>
      </c>
      <c r="E69" s="1964" t="e">
        <f t="shared" si="9"/>
        <v>#DIV/0!</v>
      </c>
      <c r="F69" s="1290">
        <v>14</v>
      </c>
      <c r="G69" s="1712"/>
      <c r="H69" s="957">
        <f t="shared" si="26"/>
        <v>0</v>
      </c>
      <c r="I69" s="957">
        <f t="shared" si="26"/>
        <v>0</v>
      </c>
      <c r="J69" s="957">
        <f t="shared" si="26"/>
        <v>0</v>
      </c>
      <c r="K69" s="1720">
        <f t="shared" si="26"/>
        <v>0</v>
      </c>
      <c r="L69" s="2067"/>
      <c r="M69" s="2068"/>
      <c r="N69" s="2067"/>
      <c r="O69" s="2068"/>
      <c r="P69" s="2067"/>
      <c r="Q69" s="2068"/>
      <c r="R69" s="2067"/>
      <c r="S69" s="2068"/>
      <c r="T69" s="2067"/>
      <c r="U69" s="2068"/>
      <c r="V69" s="1962">
        <f t="array" ref="V69">SUM(($L69:$U69)*($L$12:$U$12=V$12))</f>
        <v>0</v>
      </c>
      <c r="W69" s="1725">
        <f t="array" ref="W69">SUM(($L69:$U69)*($L$12:$U$12=W$12))</f>
        <v>0</v>
      </c>
      <c r="X69" s="1725">
        <f t="array" ref="X69">SUM(($L69:$U69)*($L$12:$U$12=X$12))</f>
        <v>0</v>
      </c>
      <c r="Y69" s="1725">
        <f t="array" ref="Y69">SUM(($L69:$U69)*($L$12:$U$12=Y$12))</f>
        <v>0</v>
      </c>
      <c r="Z69" s="1728">
        <f t="array" ref="Z69">SUM(($L69:$U69)*($L$12:$U$12=Z$12))</f>
        <v>0</v>
      </c>
      <c r="AA69" s="1725" t="e">
        <f t="shared" si="11"/>
        <v>#DIV/0!</v>
      </c>
      <c r="AB69" s="1725" t="e">
        <f t="shared" si="12"/>
        <v>#DIV/0!</v>
      </c>
      <c r="AC69" s="1725" t="e">
        <f t="shared" si="13"/>
        <v>#DIV/0!</v>
      </c>
      <c r="AD69" s="1954" t="e">
        <f t="shared" si="14"/>
        <v>#DIV/0!</v>
      </c>
      <c r="AE69" s="1952">
        <f t="shared" si="15"/>
        <v>0</v>
      </c>
      <c r="AF69" s="722" t="e">
        <f t="shared" si="21"/>
        <v>#DIV/0!</v>
      </c>
      <c r="AG69" s="722" t="e">
        <f t="shared" si="22"/>
        <v>#DIV/0!</v>
      </c>
      <c r="AH69" s="722" t="e">
        <f t="shared" si="23"/>
        <v>#DIV/0!</v>
      </c>
      <c r="AI69" s="722" t="e">
        <f t="shared" si="24"/>
        <v>#DIV/0!</v>
      </c>
      <c r="AJ69" s="954"/>
      <c r="AK69" s="954"/>
      <c r="AL69" s="954"/>
      <c r="AM69" s="954"/>
      <c r="AN69" s="954"/>
      <c r="AO69" s="963"/>
    </row>
    <row r="70" spans="1:70" x14ac:dyDescent="0.2">
      <c r="A70" s="551" t="str">
        <f>IF(LEN(КАФЕДРА!A70)&gt;2,КАФЕДРА!A70,"")</f>
        <v>Медицинской реабилитологии с курсом ДПО</v>
      </c>
      <c r="B70" s="800" t="str">
        <f>КАФЕДРА!$D70</f>
        <v>КПСИХОЛОГИИ</v>
      </c>
      <c r="C70" s="186">
        <f>IF(LEN(Кадры!$A70)&gt;2,Кадры!$E70,0)</f>
        <v>0</v>
      </c>
      <c r="D70" s="201" t="e">
        <f t="shared" si="8"/>
        <v>#DIV/0!</v>
      </c>
      <c r="E70" s="954" t="e">
        <f t="shared" si="9"/>
        <v>#DIV/0!</v>
      </c>
      <c r="F70" s="1290">
        <v>14</v>
      </c>
      <c r="G70" s="1710"/>
      <c r="H70" s="955">
        <f t="shared" si="26"/>
        <v>0</v>
      </c>
      <c r="I70" s="955">
        <f t="shared" si="26"/>
        <v>0</v>
      </c>
      <c r="J70" s="955">
        <f t="shared" si="26"/>
        <v>0</v>
      </c>
      <c r="K70" s="1718">
        <f t="shared" si="26"/>
        <v>0</v>
      </c>
      <c r="L70" s="2066"/>
      <c r="M70" s="2065"/>
      <c r="N70" s="2066"/>
      <c r="O70" s="2065"/>
      <c r="P70" s="2066"/>
      <c r="Q70" s="2065"/>
      <c r="R70" s="2066"/>
      <c r="S70" s="2065"/>
      <c r="T70" s="2066"/>
      <c r="U70" s="2065"/>
      <c r="V70" s="1962">
        <f t="array" ref="V70">SUM(($L70:$U70)*($L$12:$U$12=V$12))</f>
        <v>0</v>
      </c>
      <c r="W70" s="1725">
        <f t="array" ref="W70">SUM(($L70:$U70)*($L$12:$U$12=W$12))</f>
        <v>0</v>
      </c>
      <c r="X70" s="1725">
        <f t="array" ref="X70">SUM(($L70:$U70)*($L$12:$U$12=X$12))</f>
        <v>0</v>
      </c>
      <c r="Y70" s="1725">
        <f t="array" ref="Y70">SUM(($L70:$U70)*($L$12:$U$12=Y$12))</f>
        <v>0</v>
      </c>
      <c r="Z70" s="1728">
        <f t="array" ref="Z70">SUM(($L70:$U70)*($L$12:$U$12=Z$12))</f>
        <v>0</v>
      </c>
      <c r="AA70" s="1725" t="e">
        <f t="shared" si="11"/>
        <v>#DIV/0!</v>
      </c>
      <c r="AB70" s="1725" t="e">
        <f t="shared" si="12"/>
        <v>#DIV/0!</v>
      </c>
      <c r="AC70" s="1725" t="e">
        <f t="shared" si="13"/>
        <v>#DIV/0!</v>
      </c>
      <c r="AD70" s="1954" t="e">
        <f t="shared" si="14"/>
        <v>#DIV/0!</v>
      </c>
      <c r="AE70" s="1952">
        <f t="shared" si="15"/>
        <v>0</v>
      </c>
      <c r="AF70" s="722" t="e">
        <f t="shared" si="21"/>
        <v>#DIV/0!</v>
      </c>
      <c r="AG70" s="722" t="e">
        <f t="shared" si="22"/>
        <v>#DIV/0!</v>
      </c>
      <c r="AH70" s="722" t="e">
        <f t="shared" si="23"/>
        <v>#DIV/0!</v>
      </c>
      <c r="AI70" s="722" t="e">
        <f t="shared" si="24"/>
        <v>#DIV/0!</v>
      </c>
      <c r="AJ70" s="954"/>
      <c r="AK70" s="954"/>
      <c r="AL70" s="954"/>
      <c r="AM70" s="954"/>
      <c r="AN70" s="954"/>
      <c r="AO70" s="963"/>
    </row>
    <row r="71" spans="1:70" x14ac:dyDescent="0.2">
      <c r="A71" s="551" t="str">
        <f>IF(LEN(КАФЕДРА!A71)&gt;2,КАФЕДРА!A71,"")</f>
        <v>Психиатрии, медицинской психологии и наркологии с курсом ДПО</v>
      </c>
      <c r="B71" s="800" t="str">
        <f>КАФЕДРА!$D71</f>
        <v>КПСИХОЛОГИИ</v>
      </c>
      <c r="C71" s="186">
        <f>IF(LEN(Кадры!$A71)&gt;2,Кадры!$E71,0)</f>
        <v>0</v>
      </c>
      <c r="D71" s="201" t="e">
        <f t="shared" si="8"/>
        <v>#DIV/0!</v>
      </c>
      <c r="E71" s="954" t="e">
        <f t="shared" si="9"/>
        <v>#DIV/0!</v>
      </c>
      <c r="F71" s="1290">
        <v>14</v>
      </c>
      <c r="G71" s="1710"/>
      <c r="H71" s="955">
        <f t="shared" si="26"/>
        <v>0</v>
      </c>
      <c r="I71" s="955">
        <f t="shared" si="26"/>
        <v>0</v>
      </c>
      <c r="J71" s="955">
        <f t="shared" si="26"/>
        <v>0</v>
      </c>
      <c r="K71" s="1718">
        <f t="shared" si="26"/>
        <v>0</v>
      </c>
      <c r="L71" s="2066"/>
      <c r="M71" s="2065"/>
      <c r="N71" s="2066"/>
      <c r="O71" s="2065"/>
      <c r="P71" s="2066"/>
      <c r="Q71" s="2065"/>
      <c r="R71" s="2066"/>
      <c r="S71" s="2065"/>
      <c r="T71" s="2066"/>
      <c r="U71" s="2065"/>
      <c r="V71" s="1962">
        <f t="array" ref="V71">SUM(($L71:$U71)*($L$12:$U$12=V$12))</f>
        <v>0</v>
      </c>
      <c r="W71" s="1725">
        <f t="array" ref="W71">SUM(($L71:$U71)*($L$12:$U$12=W$12))</f>
        <v>0</v>
      </c>
      <c r="X71" s="1725">
        <f t="array" ref="X71">SUM(($L71:$U71)*($L$12:$U$12=X$12))</f>
        <v>0</v>
      </c>
      <c r="Y71" s="1725">
        <f t="array" ref="Y71">SUM(($L71:$U71)*($L$12:$U$12=Y$12))</f>
        <v>0</v>
      </c>
      <c r="Z71" s="1728">
        <f t="array" ref="Z71">SUM(($L71:$U71)*($L$12:$U$12=Z$12))</f>
        <v>0</v>
      </c>
      <c r="AA71" s="1725" t="e">
        <f t="shared" si="11"/>
        <v>#DIV/0!</v>
      </c>
      <c r="AB71" s="1725" t="e">
        <f t="shared" si="12"/>
        <v>#DIV/0!</v>
      </c>
      <c r="AC71" s="1725" t="e">
        <f t="shared" si="13"/>
        <v>#DIV/0!</v>
      </c>
      <c r="AD71" s="1954" t="e">
        <f t="shared" si="14"/>
        <v>#DIV/0!</v>
      </c>
      <c r="AE71" s="1952">
        <f t="shared" si="15"/>
        <v>0</v>
      </c>
      <c r="AF71" s="722" t="e">
        <f t="shared" si="21"/>
        <v>#DIV/0!</v>
      </c>
      <c r="AG71" s="722" t="e">
        <f t="shared" si="22"/>
        <v>#DIV/0!</v>
      </c>
      <c r="AH71" s="722" t="e">
        <f t="shared" si="23"/>
        <v>#DIV/0!</v>
      </c>
      <c r="AI71" s="722" t="e">
        <f t="shared" si="24"/>
        <v>#DIV/0!</v>
      </c>
      <c r="AJ71" s="954"/>
      <c r="AK71" s="954"/>
      <c r="AL71" s="954"/>
      <c r="AM71" s="954"/>
      <c r="AN71" s="954"/>
      <c r="AO71" s="963"/>
    </row>
    <row r="72" spans="1:70" s="767" customFormat="1" x14ac:dyDescent="0.2">
      <c r="A72" s="551" t="str">
        <f>IF(LEN(КАФЕДРА!A72)&gt;2,КАФЕДРА!A72,"")</f>
        <v>Философии</v>
      </c>
      <c r="B72" s="800" t="str">
        <f>КАФЕДРА!$D72</f>
        <v>КПСИХОЛОГИИ</v>
      </c>
      <c r="C72" s="186">
        <f>IF(LEN(Кадры!$A72)&gt;2,Кадры!$E72,0)</f>
        <v>0</v>
      </c>
      <c r="D72" s="201" t="e">
        <f t="shared" si="8"/>
        <v>#DIV/0!</v>
      </c>
      <c r="E72" s="954" t="e">
        <f t="shared" si="9"/>
        <v>#DIV/0!</v>
      </c>
      <c r="F72" s="1290">
        <v>14</v>
      </c>
      <c r="G72" s="1710"/>
      <c r="H72" s="955">
        <f t="shared" si="26"/>
        <v>0</v>
      </c>
      <c r="I72" s="955">
        <f t="shared" si="26"/>
        <v>0</v>
      </c>
      <c r="J72" s="955">
        <f t="shared" si="26"/>
        <v>0</v>
      </c>
      <c r="K72" s="1718">
        <f t="shared" si="26"/>
        <v>0</v>
      </c>
      <c r="L72" s="2066"/>
      <c r="M72" s="2065"/>
      <c r="N72" s="2066"/>
      <c r="O72" s="2065"/>
      <c r="P72" s="2066"/>
      <c r="Q72" s="2065"/>
      <c r="R72" s="2066"/>
      <c r="S72" s="2065"/>
      <c r="T72" s="2066"/>
      <c r="U72" s="2065"/>
      <c r="V72" s="1962">
        <f t="array" ref="V72">SUM(($L72:$U72)*($L$12:$U$12=V$12))</f>
        <v>0</v>
      </c>
      <c r="W72" s="1725">
        <f t="array" ref="W72">SUM(($L72:$U72)*($L$12:$U$12=W$12))</f>
        <v>0</v>
      </c>
      <c r="X72" s="1725">
        <f t="array" ref="X72">SUM(($L72:$U72)*($L$12:$U$12=X$12))</f>
        <v>0</v>
      </c>
      <c r="Y72" s="1725">
        <f t="array" ref="Y72">SUM(($L72:$U72)*($L$12:$U$12=Y$12))</f>
        <v>0</v>
      </c>
      <c r="Z72" s="1728">
        <f t="array" ref="Z72">SUM(($L72:$U72)*($L$12:$U$12=Z$12))</f>
        <v>0</v>
      </c>
      <c r="AA72" s="1725" t="e">
        <f t="shared" si="11"/>
        <v>#DIV/0!</v>
      </c>
      <c r="AB72" s="1725" t="e">
        <f t="shared" si="12"/>
        <v>#DIV/0!</v>
      </c>
      <c r="AC72" s="1725" t="e">
        <f t="shared" si="13"/>
        <v>#DIV/0!</v>
      </c>
      <c r="AD72" s="1954" t="e">
        <f t="shared" si="14"/>
        <v>#DIV/0!</v>
      </c>
      <c r="AE72" s="1952">
        <f t="shared" si="15"/>
        <v>0</v>
      </c>
      <c r="AF72" s="722" t="e">
        <f t="shared" si="21"/>
        <v>#DIV/0!</v>
      </c>
      <c r="AG72" s="722" t="e">
        <f t="shared" si="22"/>
        <v>#DIV/0!</v>
      </c>
      <c r="AH72" s="722" t="e">
        <f t="shared" si="23"/>
        <v>#DIV/0!</v>
      </c>
      <c r="AI72" s="722" t="e">
        <f t="shared" si="24"/>
        <v>#DIV/0!</v>
      </c>
      <c r="AJ72" s="954"/>
      <c r="AK72" s="954"/>
      <c r="AL72" s="954"/>
      <c r="AM72" s="954"/>
      <c r="AN72" s="954"/>
      <c r="AO72" s="963"/>
    </row>
    <row r="73" spans="1:70" ht="15" thickBot="1" x14ac:dyDescent="0.25">
      <c r="A73" s="551" t="str">
        <f>IF(LEN(КАФЕДРА!A73)&gt;2,КАФЕДРА!A73,"")</f>
        <v>Истории</v>
      </c>
      <c r="B73" s="878" t="str">
        <f>КАФЕДРА!$D73</f>
        <v>КПСИХОЛОГИИ</v>
      </c>
      <c r="C73" s="186">
        <f>IF(LEN(Кадры!$A73)&gt;2,Кадры!$E73,0)</f>
        <v>0</v>
      </c>
      <c r="D73" s="1965" t="e">
        <f t="shared" si="8"/>
        <v>#DIV/0!</v>
      </c>
      <c r="E73" s="1955" t="e">
        <f t="shared" si="9"/>
        <v>#DIV/0!</v>
      </c>
      <c r="F73" s="1296">
        <v>14</v>
      </c>
      <c r="G73" s="1711"/>
      <c r="H73" s="956">
        <f t="shared" si="26"/>
        <v>0</v>
      </c>
      <c r="I73" s="956">
        <f t="shared" si="26"/>
        <v>0</v>
      </c>
      <c r="J73" s="956">
        <f t="shared" si="26"/>
        <v>0</v>
      </c>
      <c r="K73" s="1719">
        <f t="shared" si="26"/>
        <v>0</v>
      </c>
      <c r="L73" s="2069"/>
      <c r="M73" s="2070"/>
      <c r="N73" s="2069"/>
      <c r="O73" s="2070"/>
      <c r="P73" s="2069"/>
      <c r="Q73" s="2070"/>
      <c r="R73" s="2069"/>
      <c r="S73" s="2070"/>
      <c r="T73" s="2069"/>
      <c r="U73" s="2070"/>
      <c r="V73" s="1956">
        <f t="array" ref="V73">SUM(($L73:$U73)*($L$12:$U$12=V$12))</f>
        <v>0</v>
      </c>
      <c r="W73" s="1956">
        <f t="array" ref="W73">SUM(($L73:$U73)*($L$12:$U$12=W$12))</f>
        <v>0</v>
      </c>
      <c r="X73" s="1956">
        <f t="array" ref="X73">SUM(($L73:$U73)*($L$12:$U$12=X$12))</f>
        <v>0</v>
      </c>
      <c r="Y73" s="1956">
        <f t="array" ref="Y73">SUM(($L73:$U73)*($L$12:$U$12=Y$12))</f>
        <v>0</v>
      </c>
      <c r="Z73" s="1729">
        <f t="array" ref="Z73">SUM(($L73:$U73)*($L$12:$U$12=Z$12))</f>
        <v>0</v>
      </c>
      <c r="AA73" s="1956" t="e">
        <f t="shared" si="11"/>
        <v>#DIV/0!</v>
      </c>
      <c r="AB73" s="1956" t="e">
        <f t="shared" si="12"/>
        <v>#DIV/0!</v>
      </c>
      <c r="AC73" s="1956" t="e">
        <f t="shared" si="13"/>
        <v>#DIV/0!</v>
      </c>
      <c r="AD73" s="1957" t="e">
        <f t="shared" si="14"/>
        <v>#DIV/0!</v>
      </c>
      <c r="AE73" s="1958">
        <f t="shared" si="15"/>
        <v>0</v>
      </c>
      <c r="AF73" s="1959" t="e">
        <f t="shared" si="21"/>
        <v>#DIV/0!</v>
      </c>
      <c r="AG73" s="1959" t="e">
        <f t="shared" si="22"/>
        <v>#DIV/0!</v>
      </c>
      <c r="AH73" s="1959" t="e">
        <f t="shared" si="23"/>
        <v>#DIV/0!</v>
      </c>
      <c r="AI73" s="1959" t="e">
        <f t="shared" si="24"/>
        <v>#DIV/0!</v>
      </c>
      <c r="AJ73" s="954"/>
      <c r="AK73" s="954"/>
      <c r="AL73" s="954"/>
      <c r="AM73" s="954"/>
      <c r="AN73" s="954"/>
      <c r="AO73" s="963"/>
    </row>
    <row r="74" spans="1:70" x14ac:dyDescent="0.2">
      <c r="A74" s="582" t="str">
        <f>IF(LEN(КАФЕДРА!A74)&gt;2,КАФЕДРА!A74,"")</f>
        <v>Иностранных языков с курсом латинского языка</v>
      </c>
      <c r="B74" s="795" t="str">
        <f>КАФЕДРА!$D74</f>
        <v>ФИС</v>
      </c>
      <c r="C74" s="370">
        <f>IF(LEN(Кадры!$A74)&gt;2,Кадры!$E74,0)</f>
        <v>0</v>
      </c>
      <c r="D74" s="1963" t="e">
        <f t="shared" si="8"/>
        <v>#DIV/0!</v>
      </c>
      <c r="E74" s="1964" t="e">
        <f t="shared" si="9"/>
        <v>#DIV/0!</v>
      </c>
      <c r="F74" s="1290">
        <v>14</v>
      </c>
      <c r="G74" s="1712"/>
      <c r="H74" s="957">
        <f t="shared" si="26"/>
        <v>0</v>
      </c>
      <c r="I74" s="957">
        <f t="shared" si="26"/>
        <v>0</v>
      </c>
      <c r="J74" s="957">
        <f t="shared" si="26"/>
        <v>0</v>
      </c>
      <c r="K74" s="1720">
        <f t="shared" si="26"/>
        <v>0</v>
      </c>
      <c r="L74" s="2067"/>
      <c r="M74" s="2068"/>
      <c r="N74" s="2067"/>
      <c r="O74" s="2068"/>
      <c r="P74" s="2067"/>
      <c r="Q74" s="2068"/>
      <c r="R74" s="2067"/>
      <c r="S74" s="2068"/>
      <c r="T74" s="2067"/>
      <c r="U74" s="2068"/>
      <c r="V74" s="1962">
        <f t="array" ref="V74">SUM(($L74:$U74)*($L$12:$U$12=V$12))</f>
        <v>0</v>
      </c>
      <c r="W74" s="1725">
        <f t="array" ref="W74">SUM(($L74:$U74)*($L$12:$U$12=W$12))</f>
        <v>0</v>
      </c>
      <c r="X74" s="1725">
        <f t="array" ref="X74">SUM(($L74:$U74)*($L$12:$U$12=X$12))</f>
        <v>0</v>
      </c>
      <c r="Y74" s="1725">
        <f t="array" ref="Y74">SUM(($L74:$U74)*($L$12:$U$12=Y$12))</f>
        <v>0</v>
      </c>
      <c r="Z74" s="1728">
        <f t="array" ref="Z74">SUM(($L74:$U74)*($L$12:$U$12=Z$12))</f>
        <v>0</v>
      </c>
      <c r="AA74" s="1725" t="e">
        <f t="shared" si="11"/>
        <v>#DIV/0!</v>
      </c>
      <c r="AB74" s="1725" t="e">
        <f t="shared" si="12"/>
        <v>#DIV/0!</v>
      </c>
      <c r="AC74" s="1725" t="e">
        <f t="shared" si="13"/>
        <v>#DIV/0!</v>
      </c>
      <c r="AD74" s="1954" t="e">
        <f t="shared" si="14"/>
        <v>#DIV/0!</v>
      </c>
      <c r="AE74" s="1952">
        <f t="shared" si="15"/>
        <v>0</v>
      </c>
      <c r="AF74" s="722" t="e">
        <f t="shared" si="21"/>
        <v>#DIV/0!</v>
      </c>
      <c r="AG74" s="722" t="e">
        <f t="shared" si="22"/>
        <v>#DIV/0!</v>
      </c>
      <c r="AH74" s="722" t="e">
        <f t="shared" si="23"/>
        <v>#DIV/0!</v>
      </c>
      <c r="AI74" s="722" t="e">
        <f t="shared" si="24"/>
        <v>#DIV/0!</v>
      </c>
      <c r="AJ74" s="954"/>
      <c r="AK74" s="954"/>
      <c r="AL74" s="954"/>
      <c r="AM74" s="954"/>
      <c r="AN74" s="954"/>
    </row>
    <row r="75" spans="1:70" ht="15" thickBot="1" x14ac:dyDescent="0.25">
      <c r="A75" s="551" t="str">
        <f>IF(LEN(КАФЕДРА!A75)&gt;2,КАФЕДРА!A75,"")</f>
        <v>Русского языка как иностранного</v>
      </c>
      <c r="B75" s="1453" t="str">
        <f>КАФЕДРА!$D75</f>
        <v>ФИС</v>
      </c>
      <c r="C75" s="373">
        <f>IF(LEN(Кадры!$A75)&gt;2,Кадры!$E75,0)</f>
        <v>0</v>
      </c>
      <c r="D75" s="1965" t="e">
        <f t="shared" si="8"/>
        <v>#DIV/0!</v>
      </c>
      <c r="E75" s="1955" t="e">
        <f t="shared" si="9"/>
        <v>#DIV/0!</v>
      </c>
      <c r="F75" s="1296">
        <v>14</v>
      </c>
      <c r="G75" s="1711"/>
      <c r="H75" s="956">
        <f t="shared" si="26"/>
        <v>0</v>
      </c>
      <c r="I75" s="956">
        <f t="shared" si="26"/>
        <v>0</v>
      </c>
      <c r="J75" s="956">
        <f t="shared" si="26"/>
        <v>0</v>
      </c>
      <c r="K75" s="1719">
        <f t="shared" si="26"/>
        <v>0</v>
      </c>
      <c r="L75" s="2069"/>
      <c r="M75" s="2070"/>
      <c r="N75" s="2069"/>
      <c r="O75" s="2070"/>
      <c r="P75" s="2069"/>
      <c r="Q75" s="2070"/>
      <c r="R75" s="2069"/>
      <c r="S75" s="2070"/>
      <c r="T75" s="2069"/>
      <c r="U75" s="2070"/>
      <c r="V75" s="1956">
        <f t="array" ref="V75">SUM(($L75:$U75)*($L$12:$U$12=V$12))</f>
        <v>0</v>
      </c>
      <c r="W75" s="1955">
        <f t="array" ref="W75">SUM(($L75:$U75)*($L$12:$U$12=W$12))</f>
        <v>0</v>
      </c>
      <c r="X75" s="1956">
        <f t="array" ref="X75">SUM(($L75:$U75)*($L$12:$U$12=X$12))</f>
        <v>0</v>
      </c>
      <c r="Y75" s="1956">
        <f t="array" ref="Y75">SUM(($L75:$U75)*($L$12:$U$12=Y$12))</f>
        <v>0</v>
      </c>
      <c r="Z75" s="1729">
        <f t="array" ref="Z75">SUM(($L75:$U75)*($L$12:$U$12=Z$12))</f>
        <v>0</v>
      </c>
      <c r="AA75" s="1956" t="e">
        <f t="shared" si="11"/>
        <v>#DIV/0!</v>
      </c>
      <c r="AB75" s="1956" t="e">
        <f t="shared" si="12"/>
        <v>#DIV/0!</v>
      </c>
      <c r="AC75" s="1956" t="e">
        <f t="shared" si="13"/>
        <v>#DIV/0!</v>
      </c>
      <c r="AD75" s="1957" t="e">
        <f t="shared" si="14"/>
        <v>#DIV/0!</v>
      </c>
      <c r="AE75" s="1958">
        <f t="shared" si="15"/>
        <v>0</v>
      </c>
      <c r="AF75" s="1959" t="e">
        <f t="shared" si="21"/>
        <v>#DIV/0!</v>
      </c>
      <c r="AG75" s="1959" t="e">
        <f t="shared" si="22"/>
        <v>#DIV/0!</v>
      </c>
      <c r="AH75" s="1959" t="e">
        <f t="shared" si="23"/>
        <v>#DIV/0!</v>
      </c>
      <c r="AI75" s="1959" t="e">
        <f t="shared" si="24"/>
        <v>#DIV/0!</v>
      </c>
      <c r="AJ75" s="954"/>
      <c r="AK75" s="954"/>
      <c r="AL75" s="954"/>
      <c r="AM75" s="954"/>
      <c r="AN75" s="954"/>
      <c r="AO75" s="372"/>
      <c r="AP75" s="372"/>
      <c r="AQ75" s="372"/>
      <c r="AR75" s="372"/>
      <c r="AS75" s="372"/>
      <c r="AT75" s="372"/>
      <c r="AU75" s="372"/>
      <c r="AV75" s="372"/>
      <c r="AW75" s="372"/>
      <c r="AX75" s="372"/>
      <c r="AY75" s="372"/>
      <c r="AZ75" s="372"/>
      <c r="BA75" s="372"/>
      <c r="BB75" s="372"/>
      <c r="BC75" s="372"/>
      <c r="BD75" s="372"/>
      <c r="BE75" s="372"/>
      <c r="BF75" s="372"/>
      <c r="BG75" s="372"/>
      <c r="BH75" s="372"/>
      <c r="BI75" s="372"/>
      <c r="BJ75" s="372"/>
      <c r="BK75" s="372"/>
      <c r="BL75" s="372"/>
      <c r="BM75" s="372"/>
      <c r="BN75" s="372"/>
      <c r="BO75" s="372"/>
      <c r="BP75" s="372"/>
      <c r="BQ75" s="372"/>
      <c r="BR75" s="372"/>
    </row>
    <row r="76" spans="1:70" x14ac:dyDescent="0.2">
      <c r="A76" s="583" t="s">
        <v>501</v>
      </c>
      <c r="B76" s="1541" t="str">
        <f>КАФЕДРА!$D76</f>
        <v>ОиДПО</v>
      </c>
      <c r="C76" s="369">
        <f>IF(LEN(Кадры!$A76)&gt;2,Кадры!$E76,0)</f>
        <v>0</v>
      </c>
      <c r="D76" s="1963">
        <f>IF(C76=0,0,IF(E76/F76*100&gt;100,100,E76/F76*100))</f>
        <v>0</v>
      </c>
      <c r="E76" s="1964">
        <f t="shared" si="9"/>
        <v>0</v>
      </c>
      <c r="F76" s="1290">
        <f>IF(C76=0,0,14)</f>
        <v>0</v>
      </c>
      <c r="G76" s="1712"/>
      <c r="H76" s="957">
        <f t="shared" si="26"/>
        <v>0</v>
      </c>
      <c r="I76" s="957">
        <f t="shared" si="26"/>
        <v>0</v>
      </c>
      <c r="J76" s="957">
        <f t="shared" si="26"/>
        <v>0</v>
      </c>
      <c r="K76" s="1720">
        <f t="shared" si="26"/>
        <v>0</v>
      </c>
      <c r="L76" s="2067"/>
      <c r="M76" s="2068"/>
      <c r="N76" s="2067"/>
      <c r="O76" s="2068"/>
      <c r="P76" s="2067"/>
      <c r="Q76" s="2068"/>
      <c r="R76" s="2067"/>
      <c r="S76" s="2068"/>
      <c r="T76" s="2067"/>
      <c r="U76" s="2068"/>
      <c r="V76" s="1725">
        <f t="array" ref="V76">SUM(($L76:$U76)*($L$12:$U$12=V$12))</f>
        <v>0</v>
      </c>
      <c r="W76" s="1725">
        <f t="array" ref="W76">SUM(($L76:$U76)*($L$12:$U$12=W$12))</f>
        <v>0</v>
      </c>
      <c r="X76" s="1725">
        <f t="array" ref="X76">SUM(($L76:$U76)*($L$12:$U$12=X$12))</f>
        <v>0</v>
      </c>
      <c r="Y76" s="1725">
        <f t="array" ref="Y76">SUM(($L76:$U76)*($L$12:$U$12=Y$12))</f>
        <v>0</v>
      </c>
      <c r="Z76" s="1728">
        <f t="array" ref="Z76">SUM(($L76:$U76)*($L$12:$U$12=Z$12))</f>
        <v>0</v>
      </c>
      <c r="AA76" s="1725" t="str">
        <f>IF(C76=0,"нет",W76*10/$C76)</f>
        <v>нет</v>
      </c>
      <c r="AB76" s="1725" t="str">
        <f>IF(C76=0,"нет",X76*10/$C76)</f>
        <v>нет</v>
      </c>
      <c r="AC76" s="1725" t="str">
        <f>IF(C76=0,"нет",Y76*10/$C76)</f>
        <v>нет</v>
      </c>
      <c r="AD76" s="1954" t="str">
        <f>IF(C76=0,"нет",Z76*10/$C76)</f>
        <v>нет</v>
      </c>
      <c r="AE76" s="1952">
        <f t="shared" si="15"/>
        <v>0</v>
      </c>
      <c r="AF76" s="722" t="str">
        <f>IF(AA76="нет","нет",AA76/AA$10*AA$11)</f>
        <v>нет</v>
      </c>
      <c r="AG76" s="722" t="str">
        <f>IF(AB76="нет","нет",AB76/AB$10*AB$11)</f>
        <v>нет</v>
      </c>
      <c r="AH76" s="722" t="str">
        <f>IF(AC76="нет","нет",AC76/AC$10*AC$11)</f>
        <v>нет</v>
      </c>
      <c r="AI76" s="722" t="str">
        <f>IF(AD76="нет","нет",AD76/AD$10*AD$11)</f>
        <v>нет</v>
      </c>
      <c r="AJ76" s="954"/>
      <c r="AK76" s="954"/>
      <c r="AL76" s="954"/>
      <c r="AM76" s="954"/>
      <c r="AN76" s="954"/>
      <c r="AO76" s="372"/>
      <c r="AP76" s="372"/>
      <c r="AQ76" s="372"/>
      <c r="AR76" s="372"/>
      <c r="AS76" s="372"/>
      <c r="AT76" s="372"/>
      <c r="AU76" s="372"/>
      <c r="AV76" s="372"/>
      <c r="AW76" s="372"/>
      <c r="AX76" s="372"/>
      <c r="AY76" s="372"/>
      <c r="AZ76" s="372"/>
      <c r="BA76" s="372"/>
      <c r="BB76" s="372"/>
      <c r="BC76" s="372"/>
      <c r="BD76" s="372"/>
      <c r="BE76" s="372"/>
      <c r="BF76" s="372"/>
      <c r="BG76" s="372"/>
      <c r="BH76" s="372"/>
      <c r="BI76" s="372"/>
      <c r="BJ76" s="372"/>
      <c r="BK76" s="372"/>
      <c r="BL76" s="372"/>
      <c r="BM76" s="372"/>
      <c r="BN76" s="372"/>
      <c r="BO76" s="372"/>
      <c r="BP76" s="372"/>
      <c r="BQ76" s="372"/>
      <c r="BR76" s="372"/>
    </row>
    <row r="77" spans="1:70" ht="15" thickBot="1" x14ac:dyDescent="0.25">
      <c r="A77" s="578" t="s">
        <v>502</v>
      </c>
      <c r="B77" s="1475" t="str">
        <f>КАФЕДРА!$D77</f>
        <v>ОиДПО</v>
      </c>
      <c r="C77" s="373">
        <f>IF(LEN(Кадры!$A76)&gt;2,Кадры!$E77,0)</f>
        <v>0</v>
      </c>
      <c r="D77" s="1965" t="e">
        <f t="shared" si="8"/>
        <v>#DIV/0!</v>
      </c>
      <c r="E77" s="1955" t="e">
        <f t="shared" si="9"/>
        <v>#DIV/0!</v>
      </c>
      <c r="F77" s="1296">
        <v>14</v>
      </c>
      <c r="G77" s="1711"/>
      <c r="H77" s="956">
        <f t="shared" si="26"/>
        <v>0</v>
      </c>
      <c r="I77" s="956">
        <f t="shared" si="26"/>
        <v>0</v>
      </c>
      <c r="J77" s="956">
        <f t="shared" si="26"/>
        <v>0</v>
      </c>
      <c r="K77" s="1719">
        <f t="shared" si="26"/>
        <v>0</v>
      </c>
      <c r="L77" s="2069"/>
      <c r="M77" s="2070"/>
      <c r="N77" s="2069"/>
      <c r="O77" s="2070"/>
      <c r="P77" s="2069"/>
      <c r="Q77" s="2070"/>
      <c r="R77" s="2069"/>
      <c r="S77" s="2070"/>
      <c r="T77" s="2069"/>
      <c r="U77" s="2070"/>
      <c r="V77" s="1956">
        <f t="array" ref="V77">SUM(($L77:$U77)*($L$12:$U$12=V$12))</f>
        <v>0</v>
      </c>
      <c r="W77" s="1956">
        <f t="array" ref="W77">SUM(($L77:$U77)*($L$12:$U$12=W$12))</f>
        <v>0</v>
      </c>
      <c r="X77" s="1956">
        <f t="array" ref="X77">SUM(($L77:$U77)*($L$12:$U$12=X$12))</f>
        <v>0</v>
      </c>
      <c r="Y77" s="1956">
        <f t="array" ref="Y77">SUM(($L77:$U77)*($L$12:$U$12=Y$12))</f>
        <v>0</v>
      </c>
      <c r="Z77" s="1729">
        <f t="array" ref="Z77">SUM(($L77:$U77)*($L$12:$U$12=Z$12))</f>
        <v>0</v>
      </c>
      <c r="AA77" s="1956" t="e">
        <f>W77*10/$C77</f>
        <v>#DIV/0!</v>
      </c>
      <c r="AB77" s="1956" t="e">
        <f t="shared" si="12"/>
        <v>#DIV/0!</v>
      </c>
      <c r="AC77" s="1956" t="e">
        <f t="shared" si="13"/>
        <v>#DIV/0!</v>
      </c>
      <c r="AD77" s="1957" t="e">
        <f t="shared" si="14"/>
        <v>#DIV/0!</v>
      </c>
      <c r="AE77" s="1958">
        <f t="shared" si="15"/>
        <v>0</v>
      </c>
      <c r="AF77" s="1959" t="e">
        <f t="shared" si="21"/>
        <v>#DIV/0!</v>
      </c>
      <c r="AG77" s="1959" t="e">
        <f t="shared" si="22"/>
        <v>#DIV/0!</v>
      </c>
      <c r="AH77" s="1959" t="e">
        <f t="shared" si="23"/>
        <v>#DIV/0!</v>
      </c>
      <c r="AI77" s="1959" t="e">
        <f t="shared" si="24"/>
        <v>#DIV/0!</v>
      </c>
      <c r="AJ77" s="954"/>
      <c r="AK77" s="954"/>
      <c r="AL77" s="954"/>
      <c r="AM77" s="954"/>
      <c r="AN77" s="954"/>
    </row>
    <row r="81" spans="12:22" x14ac:dyDescent="0.2">
      <c r="L81" s="186"/>
      <c r="M81" s="186"/>
      <c r="N81" s="186">
        <f t="array" ref="N81">SUM(IF(N20:N75&gt;0,1,0))</f>
        <v>0</v>
      </c>
      <c r="O81" s="186"/>
      <c r="P81" s="186">
        <f t="array" ref="P81">SUM(IF(P20:P75&gt;0,1,0))</f>
        <v>0</v>
      </c>
      <c r="Q81" s="186"/>
      <c r="R81" s="186">
        <f t="array" ref="R81">SUM(IF(R20:R75&gt;0,1,0))</f>
        <v>0</v>
      </c>
      <c r="S81" s="186"/>
      <c r="T81" s="186">
        <f t="array" ref="T81">SUM(IF(T20:T75&gt;0,1,0))</f>
        <v>0</v>
      </c>
      <c r="U81" s="186"/>
      <c r="V81" s="372"/>
    </row>
    <row r="82" spans="12:22" x14ac:dyDescent="0.2">
      <c r="L82" s="471"/>
      <c r="M82" s="471"/>
      <c r="N82" s="471">
        <f>IF(N81=0,0,N19/N81)</f>
        <v>0</v>
      </c>
      <c r="O82" s="471"/>
      <c r="P82" s="471">
        <f>IF(P81=0,0,P19/P81)</f>
        <v>0</v>
      </c>
      <c r="Q82" s="471"/>
      <c r="R82" s="471">
        <f>IF(R81=0,0,R19/R81)</f>
        <v>0</v>
      </c>
      <c r="S82" s="471"/>
      <c r="T82" s="471">
        <f>IF(T81=0,0,T19/T81)</f>
        <v>0</v>
      </c>
      <c r="U82" s="471"/>
      <c r="V82" s="967"/>
    </row>
  </sheetData>
  <mergeCells count="12">
    <mergeCell ref="G6:K6"/>
    <mergeCell ref="AA9:AD9"/>
    <mergeCell ref="AJ9:AN9"/>
    <mergeCell ref="G8:K9"/>
    <mergeCell ref="L8:U8"/>
    <mergeCell ref="AE9:AI9"/>
    <mergeCell ref="T9:U9"/>
    <mergeCell ref="R9:S9"/>
    <mergeCell ref="P9:Q9"/>
    <mergeCell ref="N9:O9"/>
    <mergeCell ref="L9:M9"/>
    <mergeCell ref="V9:Z9"/>
  </mergeCells>
  <conditionalFormatting sqref="L81:V82">
    <cfRule type="cellIs" dxfId="122" priority="389" operator="equal">
      <formula>0</formula>
    </cfRule>
  </conditionalFormatting>
  <conditionalFormatting sqref="L20:U77">
    <cfRule type="expression" dxfId="121" priority="1">
      <formula>$AP20&gt;0</formula>
    </cfRule>
  </conditionalFormatting>
  <hyperlinks>
    <hyperlink ref="A6" location="КАФЕДРА!R21C106" display="← на общую страницу"/>
  </hyperlinks>
  <pageMargins left="0.23622047244094491" right="0.23622047244094491" top="0.15748031496062992" bottom="0.15748031496062992" header="0.11811023622047245" footer="0.11811023622047245"/>
  <pageSetup paperSize="9" scale="65" fitToHeight="0" orientation="landscape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0">
    <tabColor theme="3" tint="0.59999389629810485"/>
    <pageSetUpPr fitToPage="1"/>
  </sheetPr>
  <dimension ref="A1:Q100"/>
  <sheetViews>
    <sheetView topLeftCell="A4" zoomScale="80" zoomScaleNormal="80" workbookViewId="0">
      <selection activeCell="H18" sqref="H18"/>
    </sheetView>
  </sheetViews>
  <sheetFormatPr defaultColWidth="9.140625" defaultRowHeight="14.25" x14ac:dyDescent="0.2"/>
  <cols>
    <col min="1" max="1" width="50.7109375" style="182" customWidth="1"/>
    <col min="2" max="2" width="17.140625" style="258" customWidth="1"/>
    <col min="3" max="3" width="11" style="182" customWidth="1"/>
    <col min="4" max="4" width="10.42578125" style="182" customWidth="1"/>
    <col min="5" max="5" width="8.5703125" style="182" customWidth="1"/>
    <col min="6" max="6" width="10.7109375" style="182" customWidth="1"/>
    <col min="7" max="8" width="12" style="182" customWidth="1"/>
    <col min="9" max="10" width="14.7109375" style="182" customWidth="1"/>
    <col min="11" max="11" width="17.42578125" style="182" customWidth="1"/>
    <col min="12" max="12" width="16" style="767" customWidth="1"/>
    <col min="13" max="14" width="1" style="258" customWidth="1"/>
    <col min="15" max="15" width="17.85546875" style="182" customWidth="1"/>
    <col min="16" max="16" width="17.42578125" style="182" customWidth="1"/>
    <col min="17" max="17" width="16" style="182" customWidth="1"/>
    <col min="18" max="16384" width="9.140625" style="182"/>
  </cols>
  <sheetData>
    <row r="1" spans="1:17" ht="19.5" hidden="1" x14ac:dyDescent="0.25">
      <c r="A1" s="179"/>
      <c r="B1" s="179"/>
      <c r="C1" s="219"/>
      <c r="D1" s="422"/>
      <c r="E1" s="422"/>
      <c r="F1" s="429" t="str">
        <f>"МН"&amp;TEXT(ТИТУЛ!$B$22,0)</f>
        <v>МН2</v>
      </c>
      <c r="G1" s="429" t="str">
        <f>"БМН"&amp;TEXT(ТИТУЛ!$B$22,0)</f>
        <v>БМН2</v>
      </c>
      <c r="H1" s="429" t="str">
        <f>"ВАК"&amp;TEXT(ТИТУЛ!$B$22,0)</f>
        <v>ВАК2</v>
      </c>
      <c r="I1" s="429" t="str">
        <f>"ВЕБ"&amp;TEXT(ТИТУЛ!$B$22,0)</f>
        <v>ВЕБ2</v>
      </c>
      <c r="J1" s="429" t="str">
        <f>"СКОПУС"&amp;TEXT(ТИТУЛ!$B$22,0)</f>
        <v>СКОПУС2</v>
      </c>
      <c r="K1" s="219" t="str">
        <f>"НИОКР"&amp;TEXT(ТИТУЛ!$B$22,0)</f>
        <v>НИОКР2</v>
      </c>
      <c r="L1" s="219"/>
      <c r="M1" s="400"/>
      <c r="N1" s="400"/>
    </row>
    <row r="2" spans="1:17" hidden="1" x14ac:dyDescent="0.2">
      <c r="A2" s="179"/>
      <c r="B2" s="179"/>
      <c r="F2" s="429" t="s">
        <v>363</v>
      </c>
      <c r="G2" s="535" t="s">
        <v>157</v>
      </c>
      <c r="H2" s="535" t="s">
        <v>158</v>
      </c>
      <c r="I2" s="535" t="s">
        <v>159</v>
      </c>
      <c r="J2" s="535" t="s">
        <v>160</v>
      </c>
      <c r="K2" s="479" t="s">
        <v>261</v>
      </c>
      <c r="L2" s="479"/>
    </row>
    <row r="3" spans="1:17" s="293" customFormat="1" hidden="1" x14ac:dyDescent="0.2">
      <c r="B3" s="293" t="s">
        <v>144</v>
      </c>
      <c r="F3" s="299" t="str">
        <f t="shared" ref="F3:J3" si="0">F14</f>
        <v>Издано монографий</v>
      </c>
      <c r="G3" s="299" t="str">
        <f t="shared" si="0"/>
        <v>Количество опубликованных статей в журналах, входящих в РИНЦ</v>
      </c>
      <c r="H3" s="299" t="str">
        <f t="shared" si="0"/>
        <v>Количество опубликованных статей в журналах, рецензируемых ВАК</v>
      </c>
      <c r="I3" s="299" t="str">
        <f t="shared" si="0"/>
        <v>Количество опубликованных статей в журналах, индексируемых в базах данных Web of Science</v>
      </c>
      <c r="J3" s="299" t="str">
        <f t="shared" si="0"/>
        <v xml:space="preserve">Количество опубликованных статей в журналах, индексируемых в базах данных Scopus </v>
      </c>
      <c r="K3" s="299"/>
      <c r="L3" s="299"/>
    </row>
    <row r="4" spans="1:17" ht="22.5" x14ac:dyDescent="0.3">
      <c r="A4" s="413" t="s">
        <v>255</v>
      </c>
      <c r="B4" s="182"/>
    </row>
    <row r="5" spans="1:17" ht="22.5" x14ac:dyDescent="0.3">
      <c r="A5" s="209" t="s">
        <v>256</v>
      </c>
      <c r="B5" s="182"/>
    </row>
    <row r="6" spans="1:17" ht="18" x14ac:dyDescent="0.25">
      <c r="A6" s="183" t="s">
        <v>76</v>
      </c>
      <c r="B6" s="182"/>
      <c r="E6" s="475"/>
      <c r="H6" s="2336"/>
      <c r="I6" s="2336"/>
      <c r="J6" s="2336"/>
      <c r="M6" s="264"/>
      <c r="N6" s="264"/>
    </row>
    <row r="7" spans="1:17" ht="18" x14ac:dyDescent="0.25">
      <c r="A7" s="476" t="s">
        <v>242</v>
      </c>
      <c r="B7" s="182"/>
      <c r="E7" s="475"/>
      <c r="F7" s="469"/>
      <c r="G7" s="469"/>
      <c r="H7" s="1942"/>
      <c r="I7" s="1942"/>
      <c r="J7" s="1942"/>
      <c r="K7" s="469"/>
      <c r="L7" s="469"/>
      <c r="M7" s="264"/>
      <c r="N7" s="264"/>
    </row>
    <row r="8" spans="1:17" ht="18" x14ac:dyDescent="0.25">
      <c r="A8" s="444">
        <f ca="1">NOW()</f>
        <v>45929.466219097223</v>
      </c>
      <c r="B8" s="182"/>
      <c r="E8" s="475"/>
      <c r="F8" s="469"/>
      <c r="G8" s="469"/>
      <c r="H8" s="1942"/>
      <c r="I8" s="1942"/>
      <c r="J8" s="1942"/>
      <c r="K8" s="469"/>
      <c r="L8" s="469"/>
    </row>
    <row r="9" spans="1:17" ht="16.5" customHeight="1" x14ac:dyDescent="0.2">
      <c r="A9" s="387" t="str">
        <f>ТИТУЛ!$B$22&amp;" квартал "&amp;ТИТУЛ!$D$22&amp;" года"</f>
        <v>2 квартал 2024 года</v>
      </c>
      <c r="B9" s="182"/>
      <c r="F9" s="1943"/>
      <c r="G9" s="1943"/>
      <c r="H9" s="1943"/>
      <c r="I9" s="1943"/>
      <c r="J9" s="1943"/>
      <c r="K9" s="725"/>
      <c r="L9" s="725"/>
      <c r="M9" s="404"/>
      <c r="N9" s="404"/>
    </row>
    <row r="10" spans="1:17" ht="16.5" customHeight="1" x14ac:dyDescent="0.2">
      <c r="A10" s="473" t="s">
        <v>699</v>
      </c>
      <c r="B10" s="188"/>
      <c r="C10" s="188"/>
      <c r="D10" s="188"/>
      <c r="E10" s="474"/>
      <c r="F10" s="1948"/>
      <c r="G10" s="1948">
        <f>'НУ(Публикации)'!AA10</f>
        <v>7.5</v>
      </c>
      <c r="H10" s="1948">
        <f>'НУ(Публикации)'!AB10</f>
        <v>2.5</v>
      </c>
      <c r="I10" s="1948">
        <f>'НУ(Публикации)'!AC10</f>
        <v>1.5</v>
      </c>
      <c r="J10" s="1948">
        <f>'НУ(Публикации)'!AD10</f>
        <v>2.5</v>
      </c>
      <c r="K10" s="474"/>
      <c r="L10" s="474"/>
      <c r="M10" s="405"/>
      <c r="N10" s="405"/>
    </row>
    <row r="11" spans="1:17" ht="26.25" customHeight="1" x14ac:dyDescent="0.2">
      <c r="A11" s="473" t="s">
        <v>650</v>
      </c>
      <c r="B11" s="188"/>
      <c r="C11" s="2335" t="s">
        <v>492</v>
      </c>
      <c r="D11" s="2335"/>
      <c r="E11" s="188"/>
      <c r="F11" s="1945">
        <v>2</v>
      </c>
      <c r="G11" s="1945">
        <v>2</v>
      </c>
      <c r="H11" s="1945">
        <v>3</v>
      </c>
      <c r="I11" s="1945">
        <v>4</v>
      </c>
      <c r="J11" s="1945">
        <v>3</v>
      </c>
      <c r="K11" s="1945">
        <v>7</v>
      </c>
      <c r="L11" s="1945">
        <v>2</v>
      </c>
      <c r="M11" s="405"/>
      <c r="N11" s="405"/>
      <c r="O11" s="2337" t="s">
        <v>698</v>
      </c>
      <c r="P11" s="2337"/>
      <c r="Q11" s="2337"/>
    </row>
    <row r="12" spans="1:17" ht="111.75" hidden="1" customHeight="1" x14ac:dyDescent="0.2">
      <c r="A12" s="473"/>
      <c r="B12" s="188"/>
      <c r="C12" s="188"/>
      <c r="D12" s="188"/>
      <c r="E12" s="188"/>
      <c r="F12" s="1945"/>
      <c r="G12" s="1945"/>
      <c r="H12" s="1945"/>
      <c r="I12" s="1945"/>
      <c r="J12" s="1945"/>
      <c r="K12" s="1946"/>
      <c r="L12" s="1946"/>
      <c r="M12" s="405"/>
      <c r="N12" s="405"/>
    </row>
    <row r="13" spans="1:17" ht="8.25" customHeight="1" thickBot="1" x14ac:dyDescent="0.25">
      <c r="A13" s="189"/>
      <c r="C13" s="189"/>
      <c r="D13" s="189"/>
      <c r="E13" s="1944"/>
      <c r="F13" s="1947"/>
      <c r="G13" s="1947"/>
      <c r="H13" s="1947"/>
      <c r="I13" s="1947"/>
      <c r="J13" s="1947"/>
      <c r="K13" s="1973"/>
      <c r="L13" s="1947"/>
      <c r="M13" s="1947"/>
      <c r="N13" s="1947"/>
      <c r="O13" s="1947"/>
      <c r="P13" s="1973"/>
      <c r="Q13" s="1947"/>
    </row>
    <row r="14" spans="1:17" ht="159.75" customHeight="1" x14ac:dyDescent="0.25">
      <c r="A14" s="528" t="str">
        <f>КАФЕДРА!A10</f>
        <v>Наименование кафедры</v>
      </c>
      <c r="B14" s="516" t="s">
        <v>327</v>
      </c>
      <c r="C14" s="526" t="s">
        <v>79</v>
      </c>
      <c r="D14" s="526" t="s">
        <v>698</v>
      </c>
      <c r="E14" s="527" t="s">
        <v>58</v>
      </c>
      <c r="F14" s="525" t="s">
        <v>364</v>
      </c>
      <c r="G14" s="525" t="s">
        <v>388</v>
      </c>
      <c r="H14" s="525" t="s">
        <v>365</v>
      </c>
      <c r="I14" s="525" t="s">
        <v>366</v>
      </c>
      <c r="J14" s="1967" t="s">
        <v>367</v>
      </c>
      <c r="K14" s="1974" t="s">
        <v>680</v>
      </c>
      <c r="L14" s="1970" t="s">
        <v>678</v>
      </c>
      <c r="M14" s="944"/>
      <c r="N14" s="944"/>
      <c r="O14" s="1970" t="s">
        <v>700</v>
      </c>
      <c r="P14" s="1974" t="s">
        <v>680</v>
      </c>
      <c r="Q14" s="1970" t="s">
        <v>678</v>
      </c>
    </row>
    <row r="15" spans="1:17" hidden="1" x14ac:dyDescent="0.2">
      <c r="A15" s="195"/>
      <c r="B15" s="195"/>
      <c r="C15" s="196"/>
      <c r="D15" s="196"/>
      <c r="E15" s="195"/>
      <c r="F15" s="195"/>
      <c r="G15" s="195"/>
      <c r="H15" s="195"/>
      <c r="I15" s="195"/>
      <c r="J15" s="195"/>
      <c r="K15" s="1975"/>
      <c r="L15" s="195"/>
      <c r="M15" s="944"/>
      <c r="N15" s="944"/>
      <c r="P15" s="2005"/>
    </row>
    <row r="16" spans="1:17" hidden="1" x14ac:dyDescent="0.2">
      <c r="A16" s="195"/>
      <c r="B16" s="195"/>
      <c r="C16" s="196"/>
      <c r="D16" s="196"/>
      <c r="E16" s="195"/>
      <c r="F16" s="195"/>
      <c r="G16" s="195"/>
      <c r="H16" s="195"/>
      <c r="I16" s="195"/>
      <c r="J16" s="195"/>
      <c r="K16" s="1975"/>
      <c r="L16" s="195"/>
      <c r="M16" s="944"/>
      <c r="N16" s="944"/>
      <c r="P16" s="2005"/>
    </row>
    <row r="17" spans="1:17" hidden="1" x14ac:dyDescent="0.2">
      <c r="A17" s="195"/>
      <c r="B17" s="195"/>
      <c r="C17" s="196"/>
      <c r="D17" s="196"/>
      <c r="E17" s="195"/>
      <c r="F17" s="195"/>
      <c r="G17" s="195"/>
      <c r="H17" s="195"/>
      <c r="I17" s="195"/>
      <c r="J17" s="195"/>
      <c r="K17" s="1975"/>
      <c r="L17" s="195"/>
      <c r="M17" s="944"/>
      <c r="N17" s="944"/>
      <c r="P17" s="2005"/>
    </row>
    <row r="18" spans="1:17" hidden="1" x14ac:dyDescent="0.2">
      <c r="A18" s="195"/>
      <c r="B18" s="195"/>
      <c r="C18" s="196"/>
      <c r="D18" s="196"/>
      <c r="E18" s="195"/>
      <c r="F18" s="195"/>
      <c r="G18" s="195"/>
      <c r="H18" s="195"/>
      <c r="I18" s="195"/>
      <c r="J18" s="195"/>
      <c r="K18" s="1975"/>
      <c r="L18" s="195"/>
      <c r="M18" s="944"/>
      <c r="N18" s="944"/>
      <c r="P18" s="2005"/>
    </row>
    <row r="19" spans="1:17" ht="6.75" customHeight="1" x14ac:dyDescent="0.2">
      <c r="A19" s="197"/>
      <c r="B19" s="197"/>
      <c r="C19" s="198"/>
      <c r="D19" s="198"/>
      <c r="E19" s="199"/>
      <c r="F19" s="197"/>
      <c r="G19" s="197"/>
      <c r="H19" s="197"/>
      <c r="I19" s="197"/>
      <c r="J19" s="197"/>
      <c r="K19" s="1976"/>
      <c r="L19" s="197"/>
      <c r="M19" s="944"/>
      <c r="N19" s="944"/>
      <c r="O19" s="197"/>
      <c r="P19" s="1976"/>
      <c r="Q19" s="197"/>
    </row>
    <row r="20" spans="1:17" x14ac:dyDescent="0.2">
      <c r="A20" s="2011" t="str">
        <f>КАФЕДРА!A19</f>
        <v>сумма по кафедрам (проверочная)</v>
      </c>
      <c r="B20" s="2012"/>
      <c r="C20" s="424" t="e">
        <f>IF(D20/E20*100&gt;100,100,D20/E20*100)</f>
        <v>#DIV/0!</v>
      </c>
      <c r="D20" s="424" t="e">
        <f t="shared" ref="D20:D51" si="1">SUM(O20:Q20)</f>
        <v>#DIV/0!</v>
      </c>
      <c r="E20" s="424">
        <f>IF(OR(ТИТУЛ!$B$22=2,ТИТУЛ!$B$22=4),23,0)</f>
        <v>23</v>
      </c>
      <c r="F20" s="1966">
        <f>'НУ(Публикации)'!V19</f>
        <v>0</v>
      </c>
      <c r="G20" s="1966">
        <f>'НУ(Публикации)'!W19</f>
        <v>0</v>
      </c>
      <c r="H20" s="1966">
        <f>'НУ(Публикации)'!X19</f>
        <v>0</v>
      </c>
      <c r="I20" s="1966">
        <f>'НУ(Публикации)'!Y19</f>
        <v>0</v>
      </c>
      <c r="J20" s="1968">
        <f>'НУ(Публикации)'!Z19</f>
        <v>0</v>
      </c>
      <c r="K20" s="1977" t="e">
        <f>'НУ(Финансы)'!L19</f>
        <v>#DIV/0!</v>
      </c>
      <c r="L20" s="1971">
        <f>SUM('НУ(Финансы)'!I19:J19)</f>
        <v>0</v>
      </c>
      <c r="M20" s="944"/>
      <c r="N20" s="944"/>
      <c r="O20" s="1977" t="e">
        <f>SUM(O21:O78)/COUNT(O21:O78)</f>
        <v>#DIV/0!</v>
      </c>
      <c r="P20" s="1977" t="e">
        <f>SUM(P21:P78)/COUNT(P21:P78)</f>
        <v>#VALUE!</v>
      </c>
      <c r="Q20" s="1971">
        <f>SUM(Q21:Q78)</f>
        <v>0</v>
      </c>
    </row>
    <row r="21" spans="1:17" x14ac:dyDescent="0.2">
      <c r="A21" s="2010" t="str">
        <f>IF(LEN(КАФЕДРА!A20)&gt;2,КАФЕДРА!A20,"")</f>
        <v>Акушерства и гинекологии с курсом ДПО</v>
      </c>
      <c r="B21" s="1995" t="str">
        <f>КАФЕДРА!$D20</f>
        <v>КМЕДИЦИНЫ</v>
      </c>
      <c r="C21" s="201" t="e">
        <f>IF(D21/E21*100&gt;100,100,D21/E21*100)</f>
        <v>#DIV/0!</v>
      </c>
      <c r="D21" s="201" t="e">
        <f t="shared" si="1"/>
        <v>#DIV/0!</v>
      </c>
      <c r="E21" s="203">
        <f>IF(OR(ТИТУЛ!$B$22=2,ТИТУЛ!$B$22=4),IF(Q21=0,21,23),0)</f>
        <v>21</v>
      </c>
      <c r="F21" s="425">
        <f>'НУ(Публикации)'!V20</f>
        <v>0</v>
      </c>
      <c r="G21" s="870">
        <f>'НУ(Публикации)'!W20</f>
        <v>0</v>
      </c>
      <c r="H21" s="870">
        <f>'НУ(Публикации)'!X20</f>
        <v>0</v>
      </c>
      <c r="I21" s="870">
        <f>'НУ(Публикации)'!Y20</f>
        <v>0</v>
      </c>
      <c r="J21" s="1969">
        <f>'НУ(Публикации)'!Z20</f>
        <v>0</v>
      </c>
      <c r="K21" s="1978" t="str">
        <f>'НУ(Финансы)'!L20</f>
        <v>нет</v>
      </c>
      <c r="L21" s="1972">
        <f>SUM('НУ(Финансы)'!I20:J20)</f>
        <v>0</v>
      </c>
      <c r="M21" s="407"/>
      <c r="N21" s="407"/>
      <c r="O21" s="1949" t="e">
        <f>IF(SUM('НУ(Публикации)'!AE20:AI20)&gt;14,14,SUM('НУ(Публикации)'!AE20:AI20))</f>
        <v>#DIV/0!</v>
      </c>
      <c r="P21" s="2006" t="e">
        <f t="shared" ref="P21:P52" si="2">K21/100*$K$11</f>
        <v>#VALUE!</v>
      </c>
      <c r="Q21" s="2001">
        <f>L21*$L$11</f>
        <v>0</v>
      </c>
    </row>
    <row r="22" spans="1:17" x14ac:dyDescent="0.2">
      <c r="A22" s="186" t="str">
        <f>IF(LEN(КАФЕДРА!A21)&gt;2,КАФЕДРА!A21,"")</f>
        <v>Анатомии</v>
      </c>
      <c r="B22" s="442" t="str">
        <f>КАФЕДРА!$D21</f>
        <v>КМЕДИЦИНЫ</v>
      </c>
      <c r="C22" s="201" t="e">
        <f t="shared" ref="C22:C78" si="3">IF(D22/E22*100&gt;100,100,D22/E22*100)</f>
        <v>#DIV/0!</v>
      </c>
      <c r="D22" s="201" t="e">
        <f t="shared" si="1"/>
        <v>#DIV/0!</v>
      </c>
      <c r="E22" s="776">
        <f>IF(OR(ТИТУЛ!$B$22=2,ТИТУЛ!$B$22=4),IF(Q22=0,21,23),0)</f>
        <v>21</v>
      </c>
      <c r="F22" s="870">
        <f>'НУ(Публикации)'!V21</f>
        <v>0</v>
      </c>
      <c r="G22" s="870">
        <f>'НУ(Публикации)'!W21</f>
        <v>0</v>
      </c>
      <c r="H22" s="870">
        <f>'НУ(Публикации)'!X21</f>
        <v>0</v>
      </c>
      <c r="I22" s="870">
        <f>'НУ(Публикации)'!Y21</f>
        <v>0</v>
      </c>
      <c r="J22" s="1969">
        <f>'НУ(Публикации)'!Z21</f>
        <v>0</v>
      </c>
      <c r="K22" s="1978" t="str">
        <f>'НУ(Финансы)'!L21</f>
        <v>нет</v>
      </c>
      <c r="L22" s="1972">
        <f>SUM('НУ(Финансы)'!I21:J21)</f>
        <v>0</v>
      </c>
      <c r="M22" s="407"/>
      <c r="N22" s="407"/>
      <c r="O22" s="1949" t="e">
        <f>IF(SUM('НУ(Публикации)'!AE21:AI21)&gt;14,14,SUM('НУ(Публикации)'!AE21:AI21))</f>
        <v>#DIV/0!</v>
      </c>
      <c r="P22" s="2006" t="e">
        <f t="shared" si="2"/>
        <v>#VALUE!</v>
      </c>
      <c r="Q22" s="2001">
        <f t="shared" ref="Q22:Q78" si="4">L22*$L$11</f>
        <v>0</v>
      </c>
    </row>
    <row r="23" spans="1:17" x14ac:dyDescent="0.2">
      <c r="A23" s="186" t="str">
        <f>IF(LEN(КАФЕДРА!A22)&gt;2,КАФЕДРА!A22,"")</f>
        <v>Анестезиологии и реаниматологии с курсом ДПО</v>
      </c>
      <c r="B23" s="442" t="str">
        <f>КАФЕДРА!$D22</f>
        <v>КМЕДИЦИНЫ</v>
      </c>
      <c r="C23" s="201" t="e">
        <f t="shared" si="3"/>
        <v>#DIV/0!</v>
      </c>
      <c r="D23" s="201" t="e">
        <f t="shared" si="1"/>
        <v>#DIV/0!</v>
      </c>
      <c r="E23" s="776">
        <f>IF(OR(ТИТУЛ!$B$22=2,ТИТУЛ!$B$22=4),IF(Q23=0,21,23),0)</f>
        <v>21</v>
      </c>
      <c r="F23" s="870">
        <f>'НУ(Публикации)'!V22</f>
        <v>0</v>
      </c>
      <c r="G23" s="870">
        <f>'НУ(Публикации)'!W22</f>
        <v>0</v>
      </c>
      <c r="H23" s="870">
        <f>'НУ(Публикации)'!X22</f>
        <v>0</v>
      </c>
      <c r="I23" s="870">
        <f>'НУ(Публикации)'!Y22</f>
        <v>0</v>
      </c>
      <c r="J23" s="1969">
        <f>'НУ(Публикации)'!Z22</f>
        <v>0</v>
      </c>
      <c r="K23" s="1978" t="str">
        <f>'НУ(Финансы)'!L22</f>
        <v>нет</v>
      </c>
      <c r="L23" s="1972">
        <f>SUM('НУ(Финансы)'!I22:J22)</f>
        <v>0</v>
      </c>
      <c r="M23" s="407"/>
      <c r="N23" s="407"/>
      <c r="O23" s="1949" t="e">
        <f>IF(SUM('НУ(Публикации)'!AE22:AI22)&gt;14,14,SUM('НУ(Публикации)'!AE22:AI22))</f>
        <v>#DIV/0!</v>
      </c>
      <c r="P23" s="2006" t="e">
        <f t="shared" si="2"/>
        <v>#VALUE!</v>
      </c>
      <c r="Q23" s="2001">
        <f t="shared" si="4"/>
        <v>0</v>
      </c>
    </row>
    <row r="24" spans="1:17" x14ac:dyDescent="0.2">
      <c r="A24" s="186" t="str">
        <f>IF(LEN(КАФЕДРА!A23)&gt;2,КАФЕДРА!A23,"")</f>
        <v>Госпитальной терапии и эндокринологии</v>
      </c>
      <c r="B24" s="442" t="str">
        <f>КАФЕДРА!$D23</f>
        <v>КМЕДИЦИНЫ</v>
      </c>
      <c r="C24" s="201" t="e">
        <f t="shared" si="3"/>
        <v>#DIV/0!</v>
      </c>
      <c r="D24" s="201" t="e">
        <f t="shared" si="1"/>
        <v>#DIV/0!</v>
      </c>
      <c r="E24" s="776">
        <f>IF(OR(ТИТУЛ!$B$22=2,ТИТУЛ!$B$22=4),IF(Q24=0,21,23),0)</f>
        <v>21</v>
      </c>
      <c r="F24" s="870">
        <f>'НУ(Публикации)'!V23</f>
        <v>0</v>
      </c>
      <c r="G24" s="870">
        <f>'НУ(Публикации)'!W23</f>
        <v>0</v>
      </c>
      <c r="H24" s="870">
        <f>'НУ(Публикации)'!X23</f>
        <v>0</v>
      </c>
      <c r="I24" s="870">
        <f>'НУ(Публикации)'!Y23</f>
        <v>0</v>
      </c>
      <c r="J24" s="1969">
        <f>'НУ(Публикации)'!Z23</f>
        <v>0</v>
      </c>
      <c r="K24" s="1978" t="str">
        <f>'НУ(Финансы)'!L23</f>
        <v>нет</v>
      </c>
      <c r="L24" s="1972">
        <f>SUM('НУ(Финансы)'!I23:J23)</f>
        <v>0</v>
      </c>
      <c r="M24" s="407"/>
      <c r="N24" s="407"/>
      <c r="O24" s="1949" t="e">
        <f>IF(SUM('НУ(Публикации)'!AE23:AI23)&gt;14,14,SUM('НУ(Публикации)'!AE23:AI23))</f>
        <v>#DIV/0!</v>
      </c>
      <c r="P24" s="2006" t="e">
        <f t="shared" si="2"/>
        <v>#VALUE!</v>
      </c>
      <c r="Q24" s="2001">
        <f t="shared" si="4"/>
        <v>0</v>
      </c>
    </row>
    <row r="25" spans="1:17" x14ac:dyDescent="0.2">
      <c r="A25" s="186" t="str">
        <f>IF(LEN(КАФЕДРА!A24)&gt;2,КАФЕДРА!A24,"")</f>
        <v>Госпитальной хирургии</v>
      </c>
      <c r="B25" s="442" t="str">
        <f>КАФЕДРА!$D24</f>
        <v>КМЕДИЦИНЫ</v>
      </c>
      <c r="C25" s="201" t="e">
        <f t="shared" si="3"/>
        <v>#DIV/0!</v>
      </c>
      <c r="D25" s="201" t="e">
        <f t="shared" si="1"/>
        <v>#DIV/0!</v>
      </c>
      <c r="E25" s="776">
        <f>IF(OR(ТИТУЛ!$B$22=2,ТИТУЛ!$B$22=4),IF(Q25=0,21,23),0)</f>
        <v>21</v>
      </c>
      <c r="F25" s="870">
        <f>'НУ(Публикации)'!V24</f>
        <v>0</v>
      </c>
      <c r="G25" s="870">
        <f>'НУ(Публикации)'!W24</f>
        <v>0</v>
      </c>
      <c r="H25" s="870">
        <f>'НУ(Публикации)'!X24</f>
        <v>0</v>
      </c>
      <c r="I25" s="870">
        <f>'НУ(Публикации)'!Y24</f>
        <v>0</v>
      </c>
      <c r="J25" s="1969">
        <f>'НУ(Публикации)'!Z24</f>
        <v>0</v>
      </c>
      <c r="K25" s="1978" t="str">
        <f>'НУ(Финансы)'!L24</f>
        <v>нет</v>
      </c>
      <c r="L25" s="1972">
        <f>SUM('НУ(Финансы)'!I24:J24)</f>
        <v>0</v>
      </c>
      <c r="M25" s="407"/>
      <c r="N25" s="407"/>
      <c r="O25" s="1949" t="e">
        <f>IF(SUM('НУ(Публикации)'!AE24:AI24)&gt;14,14,SUM('НУ(Публикации)'!AE24:AI24))</f>
        <v>#DIV/0!</v>
      </c>
      <c r="P25" s="2006" t="e">
        <f t="shared" si="2"/>
        <v>#VALUE!</v>
      </c>
      <c r="Q25" s="2001">
        <f t="shared" si="4"/>
        <v>0</v>
      </c>
    </row>
    <row r="26" spans="1:17" x14ac:dyDescent="0.2">
      <c r="A26" s="186" t="str">
        <f>IF(LEN(КАФЕДРА!A25)&gt;2,КАФЕДРА!A25,"")</f>
        <v>Неврологии и Нейрохирургии с курсом ДПО</v>
      </c>
      <c r="B26" s="442" t="str">
        <f>КАФЕДРА!$D25</f>
        <v>КМЕДИЦИНЫ</v>
      </c>
      <c r="C26" s="201" t="e">
        <f t="shared" si="3"/>
        <v>#DIV/0!</v>
      </c>
      <c r="D26" s="201" t="e">
        <f t="shared" si="1"/>
        <v>#DIV/0!</v>
      </c>
      <c r="E26" s="776">
        <f>IF(OR(ТИТУЛ!$B$22=2,ТИТУЛ!$B$22=4),IF(Q26=0,21,23),0)</f>
        <v>21</v>
      </c>
      <c r="F26" s="870">
        <f>'НУ(Публикации)'!V25</f>
        <v>0</v>
      </c>
      <c r="G26" s="870">
        <f>'НУ(Публикации)'!W25</f>
        <v>0</v>
      </c>
      <c r="H26" s="870">
        <f>'НУ(Публикации)'!X25</f>
        <v>0</v>
      </c>
      <c r="I26" s="870">
        <f>'НУ(Публикации)'!Y25</f>
        <v>0</v>
      </c>
      <c r="J26" s="1969">
        <f>'НУ(Публикации)'!Z25</f>
        <v>0</v>
      </c>
      <c r="K26" s="1978" t="str">
        <f>'НУ(Финансы)'!L25</f>
        <v>нет</v>
      </c>
      <c r="L26" s="1972">
        <f>SUM('НУ(Финансы)'!I25:J25)</f>
        <v>0</v>
      </c>
      <c r="M26" s="407"/>
      <c r="N26" s="407"/>
      <c r="O26" s="1949" t="e">
        <f>IF(SUM('НУ(Публикации)'!AE25:AI25)&gt;14,14,SUM('НУ(Публикации)'!AE25:AI25))</f>
        <v>#DIV/0!</v>
      </c>
      <c r="P26" s="2006" t="e">
        <f t="shared" si="2"/>
        <v>#VALUE!</v>
      </c>
      <c r="Q26" s="2001">
        <f t="shared" si="4"/>
        <v>0</v>
      </c>
    </row>
    <row r="27" spans="1:17" x14ac:dyDescent="0.2">
      <c r="A27" s="186" t="str">
        <f>IF(LEN(КАФЕДРА!A26)&gt;2,КАФЕДРА!A26,"")</f>
        <v>Нормальной физиологии</v>
      </c>
      <c r="B27" s="442" t="str">
        <f>КАФЕДРА!$D26</f>
        <v>КМЕДИЦИНЫ</v>
      </c>
      <c r="C27" s="201" t="e">
        <f t="shared" si="3"/>
        <v>#DIV/0!</v>
      </c>
      <c r="D27" s="201" t="e">
        <f t="shared" si="1"/>
        <v>#DIV/0!</v>
      </c>
      <c r="E27" s="776">
        <f>IF(OR(ТИТУЛ!$B$22=2,ТИТУЛ!$B$22=4),IF(Q27=0,21,23),0)</f>
        <v>21</v>
      </c>
      <c r="F27" s="870">
        <f>'НУ(Публикации)'!V26</f>
        <v>0</v>
      </c>
      <c r="G27" s="870">
        <f>'НУ(Публикации)'!W26</f>
        <v>0</v>
      </c>
      <c r="H27" s="870">
        <f>'НУ(Публикации)'!X26</f>
        <v>0</v>
      </c>
      <c r="I27" s="870">
        <f>'НУ(Публикации)'!Y26</f>
        <v>0</v>
      </c>
      <c r="J27" s="1969">
        <f>'НУ(Публикации)'!Z26</f>
        <v>0</v>
      </c>
      <c r="K27" s="1978" t="str">
        <f>'НУ(Финансы)'!L26</f>
        <v>нет</v>
      </c>
      <c r="L27" s="1972">
        <f>SUM('НУ(Финансы)'!I26:J26)</f>
        <v>0</v>
      </c>
      <c r="M27" s="407"/>
      <c r="N27" s="407"/>
      <c r="O27" s="1949" t="e">
        <f>IF(SUM('НУ(Публикации)'!AE26:AI26)&gt;14,14,SUM('НУ(Публикации)'!AE26:AI26))</f>
        <v>#DIV/0!</v>
      </c>
      <c r="P27" s="2006" t="e">
        <f t="shared" si="2"/>
        <v>#VALUE!</v>
      </c>
      <c r="Q27" s="2001">
        <f t="shared" si="4"/>
        <v>0</v>
      </c>
    </row>
    <row r="28" spans="1:17" x14ac:dyDescent="0.2">
      <c r="A28" s="186" t="str">
        <f>IF(LEN(КАФЕДРА!A27)&gt;2,КАФЕДРА!A27,"")</f>
        <v>Общей хирургии, оперативной хирургии и топографической анатомии</v>
      </c>
      <c r="B28" s="442" t="str">
        <f>КАФЕДРА!$D27</f>
        <v>КМЕДИЦИНЫ</v>
      </c>
      <c r="C28" s="201" t="e">
        <f t="shared" si="3"/>
        <v>#DIV/0!</v>
      </c>
      <c r="D28" s="201" t="e">
        <f t="shared" si="1"/>
        <v>#DIV/0!</v>
      </c>
      <c r="E28" s="776">
        <f>IF(OR(ТИТУЛ!$B$22=2,ТИТУЛ!$B$22=4),IF(Q28=0,21,23),0)</f>
        <v>21</v>
      </c>
      <c r="F28" s="870">
        <f>'НУ(Публикации)'!V27</f>
        <v>0</v>
      </c>
      <c r="G28" s="870">
        <f>'НУ(Публикации)'!W27</f>
        <v>0</v>
      </c>
      <c r="H28" s="870">
        <f>'НУ(Публикации)'!X27</f>
        <v>0</v>
      </c>
      <c r="I28" s="870">
        <f>'НУ(Публикации)'!Y27</f>
        <v>0</v>
      </c>
      <c r="J28" s="1969">
        <f>'НУ(Публикации)'!Z27</f>
        <v>0</v>
      </c>
      <c r="K28" s="1978" t="str">
        <f>'НУ(Финансы)'!L27</f>
        <v>нет</v>
      </c>
      <c r="L28" s="1972">
        <f>SUM('НУ(Финансы)'!I27:J27)</f>
        <v>0</v>
      </c>
      <c r="M28" s="407"/>
      <c r="N28" s="407"/>
      <c r="O28" s="1949" t="e">
        <f>IF(SUM('НУ(Публикации)'!AE27:AI27)&gt;14,14,SUM('НУ(Публикации)'!AE27:AI27))</f>
        <v>#DIV/0!</v>
      </c>
      <c r="P28" s="2006" t="e">
        <f t="shared" si="2"/>
        <v>#VALUE!</v>
      </c>
      <c r="Q28" s="2001">
        <f t="shared" si="4"/>
        <v>0</v>
      </c>
    </row>
    <row r="29" spans="1:17" ht="15" customHeight="1" x14ac:dyDescent="0.2">
      <c r="A29" s="186" t="str">
        <f>IF(LEN(КАФЕДРА!A28)&gt;2,КАФЕДРА!A28,"")</f>
        <v>Оториноларингологии с курсом ДПО</v>
      </c>
      <c r="B29" s="442" t="str">
        <f>КАФЕДРА!$D28</f>
        <v>КМЕДИЦИНЫ</v>
      </c>
      <c r="C29" s="201" t="e">
        <f t="shared" si="3"/>
        <v>#DIV/0!</v>
      </c>
      <c r="D29" s="201" t="e">
        <f t="shared" si="1"/>
        <v>#DIV/0!</v>
      </c>
      <c r="E29" s="776">
        <f>IF(OR(ТИТУЛ!$B$22=2,ТИТУЛ!$B$22=4),IF(Q29=0,21,23),0)</f>
        <v>21</v>
      </c>
      <c r="F29" s="870">
        <f>'НУ(Публикации)'!V28</f>
        <v>0</v>
      </c>
      <c r="G29" s="870">
        <f>'НУ(Публикации)'!W28</f>
        <v>0</v>
      </c>
      <c r="H29" s="870">
        <f>'НУ(Публикации)'!X28</f>
        <v>0</v>
      </c>
      <c r="I29" s="870">
        <f>'НУ(Публикации)'!Y28</f>
        <v>0</v>
      </c>
      <c r="J29" s="1969">
        <f>'НУ(Публикации)'!Z28</f>
        <v>0</v>
      </c>
      <c r="K29" s="1978" t="str">
        <f>'НУ(Финансы)'!L28</f>
        <v>нет</v>
      </c>
      <c r="L29" s="1972">
        <f>SUM('НУ(Финансы)'!I28:J28)</f>
        <v>0</v>
      </c>
      <c r="M29" s="407"/>
      <c r="N29" s="407"/>
      <c r="O29" s="1949" t="e">
        <f>IF(SUM('НУ(Публикации)'!AE28:AI28)&gt;14,14,SUM('НУ(Публикации)'!AE28:AI28))</f>
        <v>#DIV/0!</v>
      </c>
      <c r="P29" s="2006" t="e">
        <f t="shared" si="2"/>
        <v>#VALUE!</v>
      </c>
      <c r="Q29" s="2001">
        <f t="shared" si="4"/>
        <v>0</v>
      </c>
    </row>
    <row r="30" spans="1:17" x14ac:dyDescent="0.2">
      <c r="A30" s="186" t="str">
        <f>IF(LEN(КАФЕДРА!A29)&gt;2,КАФЕДРА!A29,"")</f>
        <v>Поликлинической терапии</v>
      </c>
      <c r="B30" s="442" t="str">
        <f>КАФЕДРА!$D29</f>
        <v>КМЕДИЦИНЫ</v>
      </c>
      <c r="C30" s="201" t="e">
        <f t="shared" si="3"/>
        <v>#DIV/0!</v>
      </c>
      <c r="D30" s="201" t="e">
        <f t="shared" si="1"/>
        <v>#DIV/0!</v>
      </c>
      <c r="E30" s="776">
        <f>IF(OR(ТИТУЛ!$B$22=2,ТИТУЛ!$B$22=4),IF(Q30=0,21,23),0)</f>
        <v>21</v>
      </c>
      <c r="F30" s="870">
        <f>'НУ(Публикации)'!V29</f>
        <v>0</v>
      </c>
      <c r="G30" s="870">
        <f>'НУ(Публикации)'!W29</f>
        <v>0</v>
      </c>
      <c r="H30" s="870">
        <f>'НУ(Публикации)'!X29</f>
        <v>0</v>
      </c>
      <c r="I30" s="870">
        <f>'НУ(Публикации)'!Y29</f>
        <v>0</v>
      </c>
      <c r="J30" s="1969">
        <f>'НУ(Публикации)'!Z29</f>
        <v>0</v>
      </c>
      <c r="K30" s="1978" t="str">
        <f>'НУ(Финансы)'!L29</f>
        <v>нет</v>
      </c>
      <c r="L30" s="1972">
        <f>SUM('НУ(Финансы)'!I29:J29)</f>
        <v>0</v>
      </c>
      <c r="M30" s="407"/>
      <c r="N30" s="407"/>
      <c r="O30" s="1949" t="e">
        <f>IF(SUM('НУ(Публикации)'!AE29:AI29)&gt;14,14,SUM('НУ(Публикации)'!AE29:AI29))</f>
        <v>#DIV/0!</v>
      </c>
      <c r="P30" s="2006" t="e">
        <f t="shared" si="2"/>
        <v>#VALUE!</v>
      </c>
      <c r="Q30" s="2001">
        <f t="shared" si="4"/>
        <v>0</v>
      </c>
    </row>
    <row r="31" spans="1:17" x14ac:dyDescent="0.2">
      <c r="A31" s="186" t="str">
        <f>IF(LEN(КАФЕДРА!A30)&gt;2,КАФЕДРА!A30,"")</f>
        <v>Пропедевтики внутренних болезней имени профессора З.С. Баркагана</v>
      </c>
      <c r="B31" s="442" t="str">
        <f>КАФЕДРА!$D30</f>
        <v>КМЕДИЦИНЫ</v>
      </c>
      <c r="C31" s="201" t="e">
        <f t="shared" si="3"/>
        <v>#DIV/0!</v>
      </c>
      <c r="D31" s="201" t="e">
        <f t="shared" si="1"/>
        <v>#DIV/0!</v>
      </c>
      <c r="E31" s="776">
        <f>IF(OR(ТИТУЛ!$B$22=2,ТИТУЛ!$B$22=4),IF(Q31=0,21,23),0)</f>
        <v>21</v>
      </c>
      <c r="F31" s="870">
        <f>'НУ(Публикации)'!V30</f>
        <v>0</v>
      </c>
      <c r="G31" s="870">
        <f>'НУ(Публикации)'!W30</f>
        <v>0</v>
      </c>
      <c r="H31" s="870">
        <f>'НУ(Публикации)'!X30</f>
        <v>0</v>
      </c>
      <c r="I31" s="870">
        <f>'НУ(Публикации)'!Y30</f>
        <v>0</v>
      </c>
      <c r="J31" s="1969">
        <f>'НУ(Публикации)'!Z30</f>
        <v>0</v>
      </c>
      <c r="K31" s="1978" t="str">
        <f>'НУ(Финансы)'!L30</f>
        <v>нет</v>
      </c>
      <c r="L31" s="1972">
        <f>SUM('НУ(Финансы)'!I30:J30)</f>
        <v>0</v>
      </c>
      <c r="M31" s="407"/>
      <c r="N31" s="407"/>
      <c r="O31" s="1949" t="e">
        <f>IF(SUM('НУ(Публикации)'!AE30:AI30)&gt;14,14,SUM('НУ(Публикации)'!AE30:AI30))</f>
        <v>#DIV/0!</v>
      </c>
      <c r="P31" s="2006" t="e">
        <f t="shared" si="2"/>
        <v>#VALUE!</v>
      </c>
      <c r="Q31" s="2001">
        <f t="shared" si="4"/>
        <v>0</v>
      </c>
    </row>
    <row r="32" spans="1:17" x14ac:dyDescent="0.2">
      <c r="A32" s="186" t="str">
        <f>IF(LEN(КАФЕДРА!A31)&gt;2,КАФЕДРА!A31,"")</f>
        <v>Терапии и общей врачебной практики с курсом ДПО</v>
      </c>
      <c r="B32" s="442" t="str">
        <f>КАФЕДРА!$D31</f>
        <v>КМЕДИЦИНЫ</v>
      </c>
      <c r="C32" s="201" t="e">
        <f t="shared" si="3"/>
        <v>#DIV/0!</v>
      </c>
      <c r="D32" s="201" t="e">
        <f t="shared" si="1"/>
        <v>#DIV/0!</v>
      </c>
      <c r="E32" s="776">
        <f>IF(OR(ТИТУЛ!$B$22=2,ТИТУЛ!$B$22=4),IF(Q32=0,21,23),0)</f>
        <v>21</v>
      </c>
      <c r="F32" s="870">
        <f>'НУ(Публикации)'!V31</f>
        <v>0</v>
      </c>
      <c r="G32" s="870">
        <f>'НУ(Публикации)'!W31</f>
        <v>0</v>
      </c>
      <c r="H32" s="870">
        <f>'НУ(Публикации)'!X31</f>
        <v>0</v>
      </c>
      <c r="I32" s="870">
        <f>'НУ(Публикации)'!Y31</f>
        <v>0</v>
      </c>
      <c r="J32" s="1969">
        <f>'НУ(Публикации)'!Z31</f>
        <v>0</v>
      </c>
      <c r="K32" s="1978" t="str">
        <f>'НУ(Финансы)'!L31</f>
        <v>нет</v>
      </c>
      <c r="L32" s="1972">
        <f>SUM('НУ(Финансы)'!I31:J31)</f>
        <v>0</v>
      </c>
      <c r="M32" s="407"/>
      <c r="N32" s="407"/>
      <c r="O32" s="1949" t="e">
        <f>IF(SUM('НУ(Публикации)'!AE31:AI31)&gt;14,14,SUM('НУ(Публикации)'!AE31:AI31))</f>
        <v>#DIV/0!</v>
      </c>
      <c r="P32" s="2006" t="e">
        <f t="shared" si="2"/>
        <v>#VALUE!</v>
      </c>
      <c r="Q32" s="2001">
        <f t="shared" si="4"/>
        <v>0</v>
      </c>
    </row>
    <row r="33" spans="1:17" x14ac:dyDescent="0.2">
      <c r="A33" s="186" t="str">
        <f>IF(LEN(КАФЕДРА!A32)&gt;2,КАФЕДРА!A32,"")</f>
        <v>Травматологии и ортопедии</v>
      </c>
      <c r="B33" s="442" t="str">
        <f>КАФЕДРА!$D32</f>
        <v>КМЕДИЦИНЫ</v>
      </c>
      <c r="C33" s="201" t="e">
        <f t="shared" si="3"/>
        <v>#DIV/0!</v>
      </c>
      <c r="D33" s="201" t="e">
        <f t="shared" si="1"/>
        <v>#DIV/0!</v>
      </c>
      <c r="E33" s="776">
        <f>IF(OR(ТИТУЛ!$B$22=2,ТИТУЛ!$B$22=4),IF(Q33=0,21,23),0)</f>
        <v>21</v>
      </c>
      <c r="F33" s="870">
        <f>'НУ(Публикации)'!V32</f>
        <v>0</v>
      </c>
      <c r="G33" s="870">
        <f>'НУ(Публикации)'!W32</f>
        <v>0</v>
      </c>
      <c r="H33" s="870">
        <f>'НУ(Публикации)'!X32</f>
        <v>0</v>
      </c>
      <c r="I33" s="870">
        <f>'НУ(Публикации)'!Y32</f>
        <v>0</v>
      </c>
      <c r="J33" s="1969">
        <f>'НУ(Публикации)'!Z32</f>
        <v>0</v>
      </c>
      <c r="K33" s="1978" t="str">
        <f>'НУ(Финансы)'!L32</f>
        <v>нет</v>
      </c>
      <c r="L33" s="1972">
        <f>SUM('НУ(Финансы)'!I32:J32)</f>
        <v>0</v>
      </c>
      <c r="M33" s="407"/>
      <c r="N33" s="407"/>
      <c r="O33" s="1949" t="e">
        <f>IF(SUM('НУ(Публикации)'!AE32:AI32)&gt;14,14,SUM('НУ(Публикации)'!AE32:AI32))</f>
        <v>#DIV/0!</v>
      </c>
      <c r="P33" s="2006" t="e">
        <f t="shared" si="2"/>
        <v>#VALUE!</v>
      </c>
      <c r="Q33" s="2001">
        <f t="shared" si="4"/>
        <v>0</v>
      </c>
    </row>
    <row r="34" spans="1:17" x14ac:dyDescent="0.2">
      <c r="A34" s="186" t="str">
        <f>IF(LEN(КАФЕДРА!A33)&gt;2,КАФЕДРА!A33,"")</f>
        <v>Ультразвуковой и функциональной диагностики с курсом ДПО</v>
      </c>
      <c r="B34" s="442" t="str">
        <f>КАФЕДРА!$D33</f>
        <v>КМЕДИЦИНЫ</v>
      </c>
      <c r="C34" s="201" t="e">
        <f t="shared" si="3"/>
        <v>#DIV/0!</v>
      </c>
      <c r="D34" s="201" t="e">
        <f t="shared" si="1"/>
        <v>#DIV/0!</v>
      </c>
      <c r="E34" s="776">
        <f>IF(OR(ТИТУЛ!$B$22=2,ТИТУЛ!$B$22=4),IF(Q34=0,21,23),0)</f>
        <v>21</v>
      </c>
      <c r="F34" s="870">
        <f>'НУ(Публикации)'!V33</f>
        <v>0</v>
      </c>
      <c r="G34" s="870">
        <f>'НУ(Публикации)'!W33</f>
        <v>0</v>
      </c>
      <c r="H34" s="870">
        <f>'НУ(Публикации)'!X33</f>
        <v>0</v>
      </c>
      <c r="I34" s="870">
        <f>'НУ(Публикации)'!Y33</f>
        <v>0</v>
      </c>
      <c r="J34" s="1969">
        <f>'НУ(Публикации)'!Z33</f>
        <v>0</v>
      </c>
      <c r="K34" s="1978" t="str">
        <f>'НУ(Финансы)'!L33</f>
        <v>нет</v>
      </c>
      <c r="L34" s="1972">
        <f>SUM('НУ(Финансы)'!I33:J33)</f>
        <v>0</v>
      </c>
      <c r="M34" s="407"/>
      <c r="N34" s="407"/>
      <c r="O34" s="1949" t="e">
        <f>IF(SUM('НУ(Публикации)'!AE33:AI33)&gt;14,14,SUM('НУ(Публикации)'!AE33:AI33))</f>
        <v>#DIV/0!</v>
      </c>
      <c r="P34" s="2006" t="e">
        <f t="shared" si="2"/>
        <v>#VALUE!</v>
      </c>
      <c r="Q34" s="2001">
        <f t="shared" si="4"/>
        <v>0</v>
      </c>
    </row>
    <row r="35" spans="1:17" x14ac:dyDescent="0.2">
      <c r="A35" s="186" t="str">
        <f>IF(LEN(КАФЕДРА!A34)&gt;2,КАФЕДРА!A34,"")</f>
        <v>Урологии и андрологии с курсом ДПО</v>
      </c>
      <c r="B35" s="442" t="str">
        <f>КАФЕДРА!$D34</f>
        <v>КМЕДИЦИНЫ</v>
      </c>
      <c r="C35" s="201" t="e">
        <f t="shared" si="3"/>
        <v>#DIV/0!</v>
      </c>
      <c r="D35" s="201" t="e">
        <f t="shared" si="1"/>
        <v>#DIV/0!</v>
      </c>
      <c r="E35" s="776">
        <f>IF(OR(ТИТУЛ!$B$22=2,ТИТУЛ!$B$22=4),IF(Q35=0,21,23),0)</f>
        <v>21</v>
      </c>
      <c r="F35" s="870">
        <f>'НУ(Публикации)'!V34</f>
        <v>0</v>
      </c>
      <c r="G35" s="870">
        <f>'НУ(Публикации)'!W34</f>
        <v>0</v>
      </c>
      <c r="H35" s="870">
        <f>'НУ(Публикации)'!X34</f>
        <v>0</v>
      </c>
      <c r="I35" s="870">
        <f>'НУ(Публикации)'!Y34</f>
        <v>0</v>
      </c>
      <c r="J35" s="1969">
        <f>'НУ(Публикации)'!Z34</f>
        <v>0</v>
      </c>
      <c r="K35" s="1978" t="str">
        <f>'НУ(Финансы)'!L34</f>
        <v>нет</v>
      </c>
      <c r="L35" s="1972">
        <f>SUM('НУ(Финансы)'!I34:J34)</f>
        <v>0</v>
      </c>
      <c r="M35" s="407"/>
      <c r="N35" s="407"/>
      <c r="O35" s="1949" t="e">
        <f>IF(SUM('НУ(Публикации)'!AE34:AI34)&gt;14,14,SUM('НУ(Публикации)'!AE34:AI34))</f>
        <v>#DIV/0!</v>
      </c>
      <c r="P35" s="2006" t="e">
        <f t="shared" si="2"/>
        <v>#VALUE!</v>
      </c>
      <c r="Q35" s="2001">
        <f t="shared" si="4"/>
        <v>0</v>
      </c>
    </row>
    <row r="36" spans="1:17" x14ac:dyDescent="0.2">
      <c r="A36" s="186" t="str">
        <f>IF(LEN(КАФЕДРА!A35)&gt;2,КАФЕДРА!A35,"")</f>
        <v>Факультетской терапии и профессиональных болезней</v>
      </c>
      <c r="B36" s="442" t="str">
        <f>КАФЕДРА!$D35</f>
        <v>КМЕДИЦИНЫ</v>
      </c>
      <c r="C36" s="201" t="e">
        <f t="shared" si="3"/>
        <v>#DIV/0!</v>
      </c>
      <c r="D36" s="201" t="e">
        <f t="shared" si="1"/>
        <v>#DIV/0!</v>
      </c>
      <c r="E36" s="776">
        <f>IF(OR(ТИТУЛ!$B$22=2,ТИТУЛ!$B$22=4),IF(Q36=0,21,23),0)</f>
        <v>21</v>
      </c>
      <c r="F36" s="870">
        <f>'НУ(Публикации)'!V35</f>
        <v>0</v>
      </c>
      <c r="G36" s="870">
        <f>'НУ(Публикации)'!W35</f>
        <v>0</v>
      </c>
      <c r="H36" s="870">
        <f>'НУ(Публикации)'!X35</f>
        <v>0</v>
      </c>
      <c r="I36" s="870">
        <f>'НУ(Публикации)'!Y35</f>
        <v>0</v>
      </c>
      <c r="J36" s="1969">
        <f>'НУ(Публикации)'!Z35</f>
        <v>0</v>
      </c>
      <c r="K36" s="1978" t="str">
        <f>'НУ(Финансы)'!L35</f>
        <v>нет</v>
      </c>
      <c r="L36" s="1972">
        <f>SUM('НУ(Финансы)'!I35:J35)</f>
        <v>0</v>
      </c>
      <c r="M36" s="407"/>
      <c r="N36" s="407"/>
      <c r="O36" s="1949" t="e">
        <f>IF(SUM('НУ(Публикации)'!AE35:AI35)&gt;14,14,SUM('НУ(Публикации)'!AE35:AI35))</f>
        <v>#DIV/0!</v>
      </c>
      <c r="P36" s="2006" t="e">
        <f t="shared" si="2"/>
        <v>#VALUE!</v>
      </c>
      <c r="Q36" s="2001">
        <f t="shared" si="4"/>
        <v>0</v>
      </c>
    </row>
    <row r="37" spans="1:17" ht="15" thickBot="1" x14ac:dyDescent="0.25">
      <c r="A37" s="373" t="str">
        <f>IF(LEN(КАФЕДРА!A36)&gt;2,КАФЕДРА!A36,"")</f>
        <v>Факультетской хирургии имени профессора И.И. Неймарка с курсом ДПО</v>
      </c>
      <c r="B37" s="727" t="str">
        <f>КАФЕДРА!$D36</f>
        <v>КМЕДИЦИНЫ</v>
      </c>
      <c r="C37" s="1965" t="e">
        <f t="shared" si="3"/>
        <v>#DIV/0!</v>
      </c>
      <c r="D37" s="1965" t="e">
        <f t="shared" si="1"/>
        <v>#DIV/0!</v>
      </c>
      <c r="E37" s="1982">
        <f>IF(OR(ТИТУЛ!$B$22=2,ТИТУЛ!$B$22=4),IF(Q37=0,21,23),0)</f>
        <v>21</v>
      </c>
      <c r="F37" s="1983">
        <f>'НУ(Публикации)'!V36</f>
        <v>0</v>
      </c>
      <c r="G37" s="1983">
        <f>'НУ(Публикации)'!W36</f>
        <v>0</v>
      </c>
      <c r="H37" s="1983">
        <f>'НУ(Публикации)'!X36</f>
        <v>0</v>
      </c>
      <c r="I37" s="1983">
        <f>'НУ(Публикации)'!Y36</f>
        <v>0</v>
      </c>
      <c r="J37" s="1984">
        <f>'НУ(Публикации)'!Z36</f>
        <v>0</v>
      </c>
      <c r="K37" s="1979" t="str">
        <f>'НУ(Финансы)'!L36</f>
        <v>нет</v>
      </c>
      <c r="L37" s="1985">
        <f>SUM('НУ(Финансы)'!I36:J36)</f>
        <v>0</v>
      </c>
      <c r="M37" s="1986"/>
      <c r="N37" s="1986"/>
      <c r="O37" s="1988" t="e">
        <f>IF(SUM('НУ(Публикации)'!AE36:AI36)&gt;14,14,SUM('НУ(Публикации)'!AE36:AI36))</f>
        <v>#DIV/0!</v>
      </c>
      <c r="P37" s="2007" t="e">
        <f t="shared" si="2"/>
        <v>#VALUE!</v>
      </c>
      <c r="Q37" s="2002">
        <f t="shared" si="4"/>
        <v>0</v>
      </c>
    </row>
    <row r="38" spans="1:17" x14ac:dyDescent="0.2">
      <c r="A38" s="369" t="str">
        <f>IF(LEN(КАФЕДРА!A37)&gt;2,КАФЕДРА!A37,"")</f>
        <v>Госпитальной педиатрии с курсом ДПО</v>
      </c>
      <c r="B38" s="785" t="str">
        <f>КАФЕДРА!$D37</f>
        <v>ПЕДИАТРИИ</v>
      </c>
      <c r="C38" s="1963" t="e">
        <f t="shared" si="3"/>
        <v>#DIV/0!</v>
      </c>
      <c r="D38" s="1963" t="e">
        <f t="shared" si="1"/>
        <v>#DIV/0!</v>
      </c>
      <c r="E38" s="1989">
        <f>IF(OR(ТИТУЛ!$B$22=2,ТИТУЛ!$B$22=4),IF(Q38=0,21,23),0)</f>
        <v>21</v>
      </c>
      <c r="F38" s="1990">
        <f>'НУ(Публикации)'!V37</f>
        <v>0</v>
      </c>
      <c r="G38" s="1990">
        <f>'НУ(Публикации)'!W37</f>
        <v>0</v>
      </c>
      <c r="H38" s="1990">
        <f>'НУ(Публикации)'!X37</f>
        <v>0</v>
      </c>
      <c r="I38" s="1990">
        <f>'НУ(Публикации)'!Y37</f>
        <v>0</v>
      </c>
      <c r="J38" s="1991">
        <f>'НУ(Публикации)'!Z37</f>
        <v>0</v>
      </c>
      <c r="K38" s="1992" t="str">
        <f>'НУ(Финансы)'!L37</f>
        <v>нет</v>
      </c>
      <c r="L38" s="1972">
        <f>SUM('НУ(Финансы)'!I37:J37)</f>
        <v>0</v>
      </c>
      <c r="M38" s="1993"/>
      <c r="N38" s="1993"/>
      <c r="O38" s="2015" t="e">
        <f>IF(SUM('НУ(Публикации)'!AE37:AI37)&gt;14,14,SUM('НУ(Публикации)'!AE37:AI37))</f>
        <v>#DIV/0!</v>
      </c>
      <c r="P38" s="2008" t="e">
        <f t="shared" si="2"/>
        <v>#VALUE!</v>
      </c>
      <c r="Q38" s="2003">
        <f t="shared" si="4"/>
        <v>0</v>
      </c>
    </row>
    <row r="39" spans="1:17" x14ac:dyDescent="0.2">
      <c r="A39" s="186" t="str">
        <f>IF(LEN(КАФЕДРА!A38)&gt;2,КАФЕДРА!A38,"")</f>
        <v>Лучевой диагностики и эндоскопии с курсом ДПО</v>
      </c>
      <c r="B39" s="786" t="str">
        <f>КАФЕДРА!$D38</f>
        <v>ПЕДИАТРИИ</v>
      </c>
      <c r="C39" s="201" t="e">
        <f t="shared" si="3"/>
        <v>#DIV/0!</v>
      </c>
      <c r="D39" s="201" t="e">
        <f t="shared" si="1"/>
        <v>#DIV/0!</v>
      </c>
      <c r="E39" s="776">
        <f>IF(OR(ТИТУЛ!$B$22=2,ТИТУЛ!$B$22=4),IF(Q39=0,21,23),0)</f>
        <v>21</v>
      </c>
      <c r="F39" s="870">
        <f>'НУ(Публикации)'!V38</f>
        <v>0</v>
      </c>
      <c r="G39" s="870">
        <f>'НУ(Публикации)'!W38</f>
        <v>0</v>
      </c>
      <c r="H39" s="870">
        <f>'НУ(Публикации)'!X38</f>
        <v>0</v>
      </c>
      <c r="I39" s="870">
        <f>'НУ(Публикации)'!Y38</f>
        <v>0</v>
      </c>
      <c r="J39" s="1969">
        <f>'НУ(Публикации)'!Z38</f>
        <v>0</v>
      </c>
      <c r="K39" s="1978" t="str">
        <f>'НУ(Финансы)'!L38</f>
        <v>нет</v>
      </c>
      <c r="L39" s="1972">
        <f>SUM('НУ(Финансы)'!I38:J38)</f>
        <v>0</v>
      </c>
      <c r="M39" s="407"/>
      <c r="N39" s="407"/>
      <c r="O39" s="1949" t="e">
        <f>IF(SUM('НУ(Публикации)'!AE38:AI38)&gt;14,14,SUM('НУ(Публикации)'!AE38:AI38))</f>
        <v>#DIV/0!</v>
      </c>
      <c r="P39" s="2006" t="e">
        <f t="shared" si="2"/>
        <v>#VALUE!</v>
      </c>
      <c r="Q39" s="2001">
        <f t="shared" si="4"/>
        <v>0</v>
      </c>
    </row>
    <row r="40" spans="1:17" x14ac:dyDescent="0.2">
      <c r="A40" s="186" t="str">
        <f>IF(LEN(КАФЕДРА!A39)&gt;2,КАФЕДРА!A39,"")</f>
        <v>Неонатологии и детской анестезиологии с курсом ДПО</v>
      </c>
      <c r="B40" s="786" t="str">
        <f>КАФЕДРА!$D39</f>
        <v>ПЕДИАТРИИ</v>
      </c>
      <c r="C40" s="201" t="e">
        <f t="shared" si="3"/>
        <v>#DIV/0!</v>
      </c>
      <c r="D40" s="201" t="e">
        <f t="shared" si="1"/>
        <v>#DIV/0!</v>
      </c>
      <c r="E40" s="776">
        <f>IF(OR(ТИТУЛ!$B$22=2,ТИТУЛ!$B$22=4),IF(Q40=0,21,23),0)</f>
        <v>21</v>
      </c>
      <c r="F40" s="870">
        <f>'НУ(Публикации)'!V39</f>
        <v>0</v>
      </c>
      <c r="G40" s="870">
        <f>'НУ(Публикации)'!W39</f>
        <v>0</v>
      </c>
      <c r="H40" s="870">
        <f>'НУ(Публикации)'!X39</f>
        <v>0</v>
      </c>
      <c r="I40" s="870">
        <f>'НУ(Публикации)'!Y39</f>
        <v>0</v>
      </c>
      <c r="J40" s="1969">
        <f>'НУ(Публикации)'!Z39</f>
        <v>0</v>
      </c>
      <c r="K40" s="1978" t="str">
        <f>'НУ(Финансы)'!L39</f>
        <v>нет</v>
      </c>
      <c r="L40" s="1972">
        <f>SUM('НУ(Финансы)'!I39:J39)</f>
        <v>0</v>
      </c>
      <c r="M40" s="407"/>
      <c r="N40" s="407"/>
      <c r="O40" s="1949" t="e">
        <f>IF(SUM('НУ(Публикации)'!AE39:AI39)&gt;14,14,SUM('НУ(Публикации)'!AE39:AI39))</f>
        <v>#DIV/0!</v>
      </c>
      <c r="P40" s="2006" t="e">
        <f t="shared" si="2"/>
        <v>#VALUE!</v>
      </c>
      <c r="Q40" s="2001">
        <f t="shared" si="4"/>
        <v>0</v>
      </c>
    </row>
    <row r="41" spans="1:17" x14ac:dyDescent="0.2">
      <c r="A41" s="186" t="str">
        <f>IF(LEN(КАФЕДРА!A40)&gt;2,КАФЕДРА!A40,"")</f>
        <v>Онкологии, лучевой терапии с курсом ДПО</v>
      </c>
      <c r="B41" s="786" t="str">
        <f>КАФЕДРА!$D40</f>
        <v>ПЕДИАТРИИ</v>
      </c>
      <c r="C41" s="201" t="e">
        <f t="shared" si="3"/>
        <v>#DIV/0!</v>
      </c>
      <c r="D41" s="201" t="e">
        <f t="shared" si="1"/>
        <v>#DIV/0!</v>
      </c>
      <c r="E41" s="776">
        <f>IF(OR(ТИТУЛ!$B$22=2,ТИТУЛ!$B$22=4),IF(Q41=0,21,23),0)</f>
        <v>21</v>
      </c>
      <c r="F41" s="870">
        <f>'НУ(Публикации)'!V40</f>
        <v>0</v>
      </c>
      <c r="G41" s="870">
        <f>'НУ(Публикации)'!W40</f>
        <v>0</v>
      </c>
      <c r="H41" s="870">
        <f>'НУ(Публикации)'!X40</f>
        <v>0</v>
      </c>
      <c r="I41" s="870">
        <f>'НУ(Публикации)'!Y40</f>
        <v>0</v>
      </c>
      <c r="J41" s="1969">
        <f>'НУ(Публикации)'!Z40</f>
        <v>0</v>
      </c>
      <c r="K41" s="1978" t="str">
        <f>'НУ(Финансы)'!L40</f>
        <v>нет</v>
      </c>
      <c r="L41" s="1972">
        <f>SUM('НУ(Финансы)'!I40:J40)</f>
        <v>0</v>
      </c>
      <c r="M41" s="407"/>
      <c r="N41" s="407"/>
      <c r="O41" s="1949" t="e">
        <f>IF(SUM('НУ(Публикации)'!AE40:AI40)&gt;14,14,SUM('НУ(Публикации)'!AE40:AI40))</f>
        <v>#DIV/0!</v>
      </c>
      <c r="P41" s="2006" t="e">
        <f t="shared" si="2"/>
        <v>#VALUE!</v>
      </c>
      <c r="Q41" s="2001">
        <f t="shared" si="4"/>
        <v>0</v>
      </c>
    </row>
    <row r="42" spans="1:17" x14ac:dyDescent="0.2">
      <c r="A42" s="186" t="str">
        <f>IF(LEN(КАФЕДРА!A41)&gt;2,КАФЕДРА!A41,"")</f>
        <v>Офтальмологии с курсом ДПО</v>
      </c>
      <c r="B42" s="786" t="str">
        <f>КАФЕДРА!$D41</f>
        <v>ПЕДИАТРИИ</v>
      </c>
      <c r="C42" s="201" t="e">
        <f t="shared" si="3"/>
        <v>#DIV/0!</v>
      </c>
      <c r="D42" s="201" t="e">
        <f t="shared" si="1"/>
        <v>#DIV/0!</v>
      </c>
      <c r="E42" s="776">
        <f>IF(OR(ТИТУЛ!$B$22=2,ТИТУЛ!$B$22=4),IF(Q42=0,21,23),0)</f>
        <v>21</v>
      </c>
      <c r="F42" s="870">
        <f>'НУ(Публикации)'!V41</f>
        <v>0</v>
      </c>
      <c r="G42" s="870">
        <f>'НУ(Публикации)'!W41</f>
        <v>0</v>
      </c>
      <c r="H42" s="870">
        <f>'НУ(Публикации)'!X41</f>
        <v>0</v>
      </c>
      <c r="I42" s="870">
        <f>'НУ(Публикации)'!Y41</f>
        <v>0</v>
      </c>
      <c r="J42" s="1969">
        <f>'НУ(Публикации)'!Z41</f>
        <v>0</v>
      </c>
      <c r="K42" s="1978" t="str">
        <f>'НУ(Финансы)'!L41</f>
        <v>нет</v>
      </c>
      <c r="L42" s="1972">
        <f>SUM('НУ(Финансы)'!I41:J41)</f>
        <v>0</v>
      </c>
      <c r="M42" s="407"/>
      <c r="N42" s="407"/>
      <c r="O42" s="1949" t="e">
        <f>IF(SUM('НУ(Публикации)'!AE41:AI41)&gt;14,14,SUM('НУ(Публикации)'!AE41:AI41))</f>
        <v>#DIV/0!</v>
      </c>
      <c r="P42" s="2006" t="e">
        <f t="shared" si="2"/>
        <v>#VALUE!</v>
      </c>
      <c r="Q42" s="2001">
        <f t="shared" si="4"/>
        <v>0</v>
      </c>
    </row>
    <row r="43" spans="1:17" x14ac:dyDescent="0.2">
      <c r="A43" s="186" t="str">
        <f>IF(LEN(КАФЕДРА!A42)&gt;2,КАФЕДРА!A42,"")</f>
        <v>Патологической физиологии</v>
      </c>
      <c r="B43" s="786" t="str">
        <f>КАФЕДРА!$D42</f>
        <v>ПЕДИАТРИИ</v>
      </c>
      <c r="C43" s="201" t="e">
        <f t="shared" si="3"/>
        <v>#DIV/0!</v>
      </c>
      <c r="D43" s="201" t="e">
        <f t="shared" si="1"/>
        <v>#DIV/0!</v>
      </c>
      <c r="E43" s="776">
        <f>IF(OR(ТИТУЛ!$B$22=2,ТИТУЛ!$B$22=4),IF(Q43=0,21,23),0)</f>
        <v>21</v>
      </c>
      <c r="F43" s="870">
        <f>'НУ(Публикации)'!V42</f>
        <v>0</v>
      </c>
      <c r="G43" s="870">
        <f>'НУ(Публикации)'!W42</f>
        <v>0</v>
      </c>
      <c r="H43" s="870">
        <f>'НУ(Публикации)'!X42</f>
        <v>0</v>
      </c>
      <c r="I43" s="870">
        <f>'НУ(Публикации)'!Y42</f>
        <v>0</v>
      </c>
      <c r="J43" s="1969">
        <f>'НУ(Публикации)'!Z42</f>
        <v>0</v>
      </c>
      <c r="K43" s="1978" t="str">
        <f>'НУ(Финансы)'!L42</f>
        <v>нет</v>
      </c>
      <c r="L43" s="1972">
        <f>SUM('НУ(Финансы)'!I42:J42)</f>
        <v>0</v>
      </c>
      <c r="M43" s="407"/>
      <c r="N43" s="407"/>
      <c r="O43" s="1949" t="e">
        <f>IF(SUM('НУ(Публикации)'!AE42:AI42)&gt;14,14,SUM('НУ(Публикации)'!AE42:AI42))</f>
        <v>#DIV/0!</v>
      </c>
      <c r="P43" s="2006" t="e">
        <f t="shared" si="2"/>
        <v>#VALUE!</v>
      </c>
      <c r="Q43" s="2001">
        <f t="shared" si="4"/>
        <v>0</v>
      </c>
    </row>
    <row r="44" spans="1:17" x14ac:dyDescent="0.2">
      <c r="A44" s="186" t="str">
        <f>IF(LEN(КАФЕДРА!A43)&gt;2,КАФЕДРА!A43,"")</f>
        <v>Пропедевтики детских болезней</v>
      </c>
      <c r="B44" s="786" t="str">
        <f>КАФЕДРА!$D43</f>
        <v>ПЕДИАТРИИ</v>
      </c>
      <c r="C44" s="201" t="e">
        <f t="shared" si="3"/>
        <v>#DIV/0!</v>
      </c>
      <c r="D44" s="201" t="e">
        <f t="shared" si="1"/>
        <v>#DIV/0!</v>
      </c>
      <c r="E44" s="776">
        <f>IF(OR(ТИТУЛ!$B$22=2,ТИТУЛ!$B$22=4),IF(Q44=0,21,23),0)</f>
        <v>21</v>
      </c>
      <c r="F44" s="870">
        <f>'НУ(Публикации)'!V43</f>
        <v>0</v>
      </c>
      <c r="G44" s="870">
        <f>'НУ(Публикации)'!W43</f>
        <v>0</v>
      </c>
      <c r="H44" s="870">
        <f>'НУ(Публикации)'!X43</f>
        <v>0</v>
      </c>
      <c r="I44" s="870">
        <f>'НУ(Публикации)'!Y43</f>
        <v>0</v>
      </c>
      <c r="J44" s="1969">
        <f>'НУ(Публикации)'!Z43</f>
        <v>0</v>
      </c>
      <c r="K44" s="1978" t="str">
        <f>'НУ(Финансы)'!L43</f>
        <v>нет</v>
      </c>
      <c r="L44" s="1972">
        <f>SUM('НУ(Финансы)'!I43:J43)</f>
        <v>0</v>
      </c>
      <c r="M44" s="407"/>
      <c r="N44" s="407"/>
      <c r="O44" s="1949" t="e">
        <f>IF(SUM('НУ(Публикации)'!AE43:AI43)&gt;14,14,SUM('НУ(Публикации)'!AE43:AI43))</f>
        <v>#DIV/0!</v>
      </c>
      <c r="P44" s="2006" t="e">
        <f t="shared" si="2"/>
        <v>#VALUE!</v>
      </c>
      <c r="Q44" s="2001">
        <f t="shared" si="4"/>
        <v>0</v>
      </c>
    </row>
    <row r="45" spans="1:17" x14ac:dyDescent="0.2">
      <c r="A45" s="186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5" s="786" t="str">
        <f>КАФЕДРА!$D44</f>
        <v>ПЕДИАТРИИ</v>
      </c>
      <c r="C45" s="201" t="e">
        <f t="shared" si="3"/>
        <v>#DIV/0!</v>
      </c>
      <c r="D45" s="201" t="e">
        <f t="shared" si="1"/>
        <v>#DIV/0!</v>
      </c>
      <c r="E45" s="776">
        <f>IF(OR(ТИТУЛ!$B$22=2,ТИТУЛ!$B$22=4),IF(Q45=0,21,23),0)</f>
        <v>21</v>
      </c>
      <c r="F45" s="870">
        <f>'НУ(Публикации)'!V44</f>
        <v>0</v>
      </c>
      <c r="G45" s="870">
        <f>'НУ(Публикации)'!W44</f>
        <v>0</v>
      </c>
      <c r="H45" s="870">
        <f>'НУ(Публикации)'!X44</f>
        <v>0</v>
      </c>
      <c r="I45" s="870">
        <f>'НУ(Публикации)'!Y44</f>
        <v>0</v>
      </c>
      <c r="J45" s="1969">
        <f>'НУ(Публикации)'!Z44</f>
        <v>0</v>
      </c>
      <c r="K45" s="1978" t="str">
        <f>'НУ(Финансы)'!L44</f>
        <v>нет</v>
      </c>
      <c r="L45" s="1972">
        <f>SUM('НУ(Финансы)'!I44:J44)</f>
        <v>0</v>
      </c>
      <c r="M45" s="407"/>
      <c r="N45" s="407"/>
      <c r="O45" s="1949" t="e">
        <f>IF(SUM('НУ(Публикации)'!AE44:AI44)&gt;14,14,SUM('НУ(Публикации)'!AE44:AI44))</f>
        <v>#DIV/0!</v>
      </c>
      <c r="P45" s="2006" t="e">
        <f t="shared" si="2"/>
        <v>#VALUE!</v>
      </c>
      <c r="Q45" s="2001">
        <f t="shared" si="4"/>
        <v>0</v>
      </c>
    </row>
    <row r="46" spans="1:17" x14ac:dyDescent="0.2">
      <c r="A46" s="186" t="str">
        <f>IF(LEN(КАФЕДРА!A45)&gt;2,КАФЕДРА!A45,"")</f>
        <v>Факультетской педиатрии</v>
      </c>
      <c r="B46" s="786" t="str">
        <f>КАФЕДРА!$D45</f>
        <v>ПЕДИАТРИИ</v>
      </c>
      <c r="C46" s="201" t="e">
        <f t="shared" si="3"/>
        <v>#DIV/0!</v>
      </c>
      <c r="D46" s="201" t="e">
        <f t="shared" si="1"/>
        <v>#DIV/0!</v>
      </c>
      <c r="E46" s="776">
        <f>IF(OR(ТИТУЛ!$B$22=2,ТИТУЛ!$B$22=4),IF(Q46=0,21,23),0)</f>
        <v>21</v>
      </c>
      <c r="F46" s="870">
        <f>'НУ(Публикации)'!V45</f>
        <v>0</v>
      </c>
      <c r="G46" s="870">
        <f>'НУ(Публикации)'!W45</f>
        <v>0</v>
      </c>
      <c r="H46" s="870">
        <f>'НУ(Публикации)'!X45</f>
        <v>0</v>
      </c>
      <c r="I46" s="870">
        <f>'НУ(Публикации)'!Y45</f>
        <v>0</v>
      </c>
      <c r="J46" s="1969">
        <f>'НУ(Публикации)'!Z45</f>
        <v>0</v>
      </c>
      <c r="K46" s="1978" t="str">
        <f>'НУ(Финансы)'!L45</f>
        <v>нет</v>
      </c>
      <c r="L46" s="1972">
        <f>SUM('НУ(Финансы)'!I45:J45)</f>
        <v>0</v>
      </c>
      <c r="M46" s="407"/>
      <c r="N46" s="407"/>
      <c r="O46" s="1949" t="e">
        <f>IF(SUM('НУ(Публикации)'!AE45:AI45)&gt;14,14,SUM('НУ(Публикации)'!AE45:AI45))</f>
        <v>#DIV/0!</v>
      </c>
      <c r="P46" s="2006" t="e">
        <f t="shared" si="2"/>
        <v>#VALUE!</v>
      </c>
      <c r="Q46" s="2001">
        <f t="shared" si="4"/>
        <v>0</v>
      </c>
    </row>
    <row r="47" spans="1:17" s="767" customFormat="1" x14ac:dyDescent="0.2">
      <c r="A47" s="186" t="str">
        <f>IF(LEN(КАФЕДРА!A46)&gt;2,КАФЕДРА!A46,"")</f>
        <v>Хирургических болезней детского возраста</v>
      </c>
      <c r="B47" s="786" t="str">
        <f>КАФЕДРА!$D46</f>
        <v>ПЕДИАТРИИ</v>
      </c>
      <c r="C47" s="201" t="e">
        <f t="shared" si="3"/>
        <v>#DIV/0!</v>
      </c>
      <c r="D47" s="201" t="e">
        <f t="shared" si="1"/>
        <v>#DIV/0!</v>
      </c>
      <c r="E47" s="776">
        <f>IF(OR(ТИТУЛ!$B$22=2,ТИТУЛ!$B$22=4),IF(Q47=0,21,23),0)</f>
        <v>21</v>
      </c>
      <c r="F47" s="870">
        <f>'НУ(Публикации)'!V46</f>
        <v>0</v>
      </c>
      <c r="G47" s="870">
        <f>'НУ(Публикации)'!W46</f>
        <v>0</v>
      </c>
      <c r="H47" s="870">
        <f>'НУ(Публикации)'!X46</f>
        <v>0</v>
      </c>
      <c r="I47" s="870">
        <f>'НУ(Публикации)'!Y46</f>
        <v>0</v>
      </c>
      <c r="J47" s="1969">
        <f>'НУ(Публикации)'!Z46</f>
        <v>0</v>
      </c>
      <c r="K47" s="1978" t="str">
        <f>'НУ(Финансы)'!L46</f>
        <v>нет</v>
      </c>
      <c r="L47" s="1972">
        <f>SUM('НУ(Финансы)'!I46:J46)</f>
        <v>0</v>
      </c>
      <c r="M47" s="407"/>
      <c r="N47" s="407"/>
      <c r="O47" s="1949" t="e">
        <f>IF(SUM('НУ(Публикации)'!AE46:AI46)&gt;14,14,SUM('НУ(Публикации)'!AE46:AI46))</f>
        <v>#DIV/0!</v>
      </c>
      <c r="P47" s="2006" t="e">
        <f t="shared" si="2"/>
        <v>#VALUE!</v>
      </c>
      <c r="Q47" s="2001">
        <f t="shared" si="4"/>
        <v>0</v>
      </c>
    </row>
    <row r="48" spans="1:17" ht="15" thickBot="1" x14ac:dyDescent="0.25">
      <c r="A48" s="373" t="str">
        <f>IF(LEN(КАФЕДРА!A47)&gt;2,КАФЕДРА!A47,"")</f>
        <v>Клинической фармакологии</v>
      </c>
      <c r="B48" s="787" t="str">
        <f>КАФЕДРА!$D47</f>
        <v>ПЕДИАТРИИ</v>
      </c>
      <c r="C48" s="1965" t="e">
        <f t="shared" si="3"/>
        <v>#DIV/0!</v>
      </c>
      <c r="D48" s="1965" t="e">
        <f t="shared" si="1"/>
        <v>#DIV/0!</v>
      </c>
      <c r="E48" s="1982">
        <f>IF(OR(ТИТУЛ!$B$22=2,ТИТУЛ!$B$22=4),IF(Q48=0,21,23),0)</f>
        <v>21</v>
      </c>
      <c r="F48" s="1983">
        <f>'НУ(Публикации)'!V47</f>
        <v>0</v>
      </c>
      <c r="G48" s="1983">
        <f>'НУ(Публикации)'!W47</f>
        <v>0</v>
      </c>
      <c r="H48" s="1983">
        <f>'НУ(Публикации)'!X47</f>
        <v>0</v>
      </c>
      <c r="I48" s="1983">
        <f>'НУ(Публикации)'!Y47</f>
        <v>0</v>
      </c>
      <c r="J48" s="1984">
        <f>'НУ(Публикации)'!Z47</f>
        <v>0</v>
      </c>
      <c r="K48" s="1979" t="str">
        <f>'НУ(Финансы)'!L47</f>
        <v>нет</v>
      </c>
      <c r="L48" s="1985">
        <f>SUM('НУ(Финансы)'!I47:J47)</f>
        <v>0</v>
      </c>
      <c r="M48" s="1986"/>
      <c r="N48" s="1986"/>
      <c r="O48" s="2016" t="e">
        <f>IF(SUM('НУ(Публикации)'!AE47:AI47)&gt;14,14,SUM('НУ(Публикации)'!AE47:AI47))</f>
        <v>#DIV/0!</v>
      </c>
      <c r="P48" s="2007" t="e">
        <f t="shared" si="2"/>
        <v>#VALUE!</v>
      </c>
      <c r="Q48" s="2002">
        <f t="shared" si="4"/>
        <v>0</v>
      </c>
    </row>
    <row r="49" spans="1:17" x14ac:dyDescent="0.2">
      <c r="A49" s="369" t="str">
        <f>IF(LEN(КАФЕДРА!A48)&gt;2,КАФЕДРА!A48,"")</f>
        <v>Ортопедической стоматологии</v>
      </c>
      <c r="B49" s="788" t="str">
        <f>КАФЕДРА!$D48</f>
        <v>СТОМ</v>
      </c>
      <c r="C49" s="1963" t="e">
        <f t="shared" si="3"/>
        <v>#DIV/0!</v>
      </c>
      <c r="D49" s="1963" t="e">
        <f t="shared" si="1"/>
        <v>#DIV/0!</v>
      </c>
      <c r="E49" s="1989">
        <f>IF(OR(ТИТУЛ!$B$22=2,ТИТУЛ!$B$22=4),IF(Q49=0,21,23),0)</f>
        <v>21</v>
      </c>
      <c r="F49" s="1990">
        <f>'НУ(Публикации)'!V48</f>
        <v>0</v>
      </c>
      <c r="G49" s="1990">
        <f>'НУ(Публикации)'!W48</f>
        <v>0</v>
      </c>
      <c r="H49" s="1990">
        <f>'НУ(Публикации)'!X48</f>
        <v>0</v>
      </c>
      <c r="I49" s="1990">
        <f>'НУ(Публикации)'!Y48</f>
        <v>0</v>
      </c>
      <c r="J49" s="1991">
        <f>'НУ(Публикации)'!Z48</f>
        <v>0</v>
      </c>
      <c r="K49" s="1992" t="str">
        <f>'НУ(Финансы)'!L48</f>
        <v>нет</v>
      </c>
      <c r="L49" s="1972">
        <f>SUM('НУ(Финансы)'!I48:J48)</f>
        <v>0</v>
      </c>
      <c r="M49" s="932"/>
      <c r="N49" s="2000"/>
      <c r="O49" s="1994" t="e">
        <f>IF(SUM('НУ(Публикации)'!AE48:AI48)&gt;14,14,SUM('НУ(Публикации)'!AE48:AI48))</f>
        <v>#DIV/0!</v>
      </c>
      <c r="P49" s="2008" t="e">
        <f t="shared" si="2"/>
        <v>#VALUE!</v>
      </c>
      <c r="Q49" s="2003">
        <f t="shared" si="4"/>
        <v>0</v>
      </c>
    </row>
    <row r="50" spans="1:17" x14ac:dyDescent="0.2">
      <c r="A50" s="186" t="str">
        <f>IF(LEN(КАФЕДРА!A49)&gt;2,КАФЕДРА!A49,"")</f>
        <v>Стоматологии детского возраста</v>
      </c>
      <c r="B50" s="789" t="str">
        <f>КАФЕДРА!$D49</f>
        <v>СТОМ</v>
      </c>
      <c r="C50" s="201" t="e">
        <f t="shared" si="3"/>
        <v>#DIV/0!</v>
      </c>
      <c r="D50" s="201" t="e">
        <f t="shared" si="1"/>
        <v>#DIV/0!</v>
      </c>
      <c r="E50" s="776">
        <f>IF(OR(ТИТУЛ!$B$22=2,ТИТУЛ!$B$22=4),IF(Q50=0,21,23),0)</f>
        <v>21</v>
      </c>
      <c r="F50" s="870">
        <f>'НУ(Публикации)'!V49</f>
        <v>0</v>
      </c>
      <c r="G50" s="870">
        <f>'НУ(Публикации)'!W49</f>
        <v>0</v>
      </c>
      <c r="H50" s="870">
        <f>'НУ(Публикации)'!X49</f>
        <v>0</v>
      </c>
      <c r="I50" s="870">
        <f>'НУ(Публикации)'!Y49</f>
        <v>0</v>
      </c>
      <c r="J50" s="1969">
        <f>'НУ(Публикации)'!Z49</f>
        <v>0</v>
      </c>
      <c r="K50" s="1978" t="str">
        <f>'НУ(Финансы)'!L49</f>
        <v>нет</v>
      </c>
      <c r="L50" s="1972">
        <f>SUM('НУ(Финансы)'!I49:J49)</f>
        <v>0</v>
      </c>
      <c r="M50" s="407"/>
      <c r="N50" s="407"/>
      <c r="O50" s="1949" t="e">
        <f>IF(SUM('НУ(Публикации)'!AE49:AI49)&gt;14,14,SUM('НУ(Публикации)'!AE49:AI49))</f>
        <v>#DIV/0!</v>
      </c>
      <c r="P50" s="2006" t="e">
        <f t="shared" si="2"/>
        <v>#VALUE!</v>
      </c>
      <c r="Q50" s="2001">
        <f t="shared" si="4"/>
        <v>0</v>
      </c>
    </row>
    <row r="51" spans="1:17" x14ac:dyDescent="0.2">
      <c r="A51" s="186" t="str">
        <f>IF(LEN(КАФЕДРА!A50)&gt;2,КАФЕДРА!A50,"")</f>
        <v>Терапевтической стоматологии</v>
      </c>
      <c r="B51" s="789" t="str">
        <f>КАФЕДРА!$D50</f>
        <v>СТОМ</v>
      </c>
      <c r="C51" s="201" t="e">
        <f t="shared" si="3"/>
        <v>#DIV/0!</v>
      </c>
      <c r="D51" s="201" t="e">
        <f t="shared" si="1"/>
        <v>#DIV/0!</v>
      </c>
      <c r="E51" s="776">
        <f>IF(OR(ТИТУЛ!$B$22=2,ТИТУЛ!$B$22=4),IF(Q51=0,21,23),0)</f>
        <v>21</v>
      </c>
      <c r="F51" s="870">
        <f>'НУ(Публикации)'!V50</f>
        <v>0</v>
      </c>
      <c r="G51" s="870">
        <f>'НУ(Публикации)'!W50</f>
        <v>0</v>
      </c>
      <c r="H51" s="870">
        <f>'НУ(Публикации)'!X50</f>
        <v>0</v>
      </c>
      <c r="I51" s="870">
        <f>'НУ(Публикации)'!Y50</f>
        <v>0</v>
      </c>
      <c r="J51" s="1969">
        <f>'НУ(Публикации)'!Z50</f>
        <v>0</v>
      </c>
      <c r="K51" s="1978" t="str">
        <f>'НУ(Финансы)'!L50</f>
        <v>нет</v>
      </c>
      <c r="L51" s="1972">
        <f>SUM('НУ(Финансы)'!I50:J50)</f>
        <v>0</v>
      </c>
      <c r="M51" s="407"/>
      <c r="N51" s="407"/>
      <c r="O51" s="1949" t="e">
        <f>IF(SUM('НУ(Публикации)'!AE50:AI50)&gt;14,14,SUM('НУ(Публикации)'!AE50:AI50))</f>
        <v>#DIV/0!</v>
      </c>
      <c r="P51" s="2006" t="e">
        <f t="shared" si="2"/>
        <v>#VALUE!</v>
      </c>
      <c r="Q51" s="2001">
        <f t="shared" si="4"/>
        <v>0</v>
      </c>
    </row>
    <row r="52" spans="1:17" x14ac:dyDescent="0.2">
      <c r="A52" s="186" t="str">
        <f>IF(LEN(КАФЕДРА!A51)&gt;2,КАФЕДРА!A51,"")</f>
        <v>Физической культуры и здорового образа жизни</v>
      </c>
      <c r="B52" s="789" t="str">
        <f>КАФЕДРА!$D51</f>
        <v>СТОМ</v>
      </c>
      <c r="C52" s="201" t="e">
        <f t="shared" si="3"/>
        <v>#DIV/0!</v>
      </c>
      <c r="D52" s="201" t="e">
        <f t="shared" ref="D52:D78" si="5">SUM(O52:Q52)</f>
        <v>#DIV/0!</v>
      </c>
      <c r="E52" s="776">
        <f>IF(OR(ТИТУЛ!$B$22=2,ТИТУЛ!$B$22=4),IF(Q52=0,21,23),0)</f>
        <v>21</v>
      </c>
      <c r="F52" s="870">
        <f>'НУ(Публикации)'!V51</f>
        <v>0</v>
      </c>
      <c r="G52" s="870">
        <f>'НУ(Публикации)'!W51</f>
        <v>0</v>
      </c>
      <c r="H52" s="870">
        <f>'НУ(Публикации)'!X51</f>
        <v>0</v>
      </c>
      <c r="I52" s="870">
        <f>'НУ(Публикации)'!Y51</f>
        <v>0</v>
      </c>
      <c r="J52" s="1969">
        <f>'НУ(Публикации)'!Z51</f>
        <v>0</v>
      </c>
      <c r="K52" s="1978" t="str">
        <f>'НУ(Финансы)'!L51</f>
        <v>нет</v>
      </c>
      <c r="L52" s="1972">
        <f>SUM('НУ(Финансы)'!I51:J51)</f>
        <v>0</v>
      </c>
      <c r="M52" s="407"/>
      <c r="N52" s="407"/>
      <c r="O52" s="1949" t="e">
        <f>IF(SUM('НУ(Публикации)'!AE51:AI51)&gt;14,14,SUM('НУ(Публикации)'!AE51:AI51))</f>
        <v>#DIV/0!</v>
      </c>
      <c r="P52" s="2006" t="e">
        <f t="shared" si="2"/>
        <v>#VALUE!</v>
      </c>
      <c r="Q52" s="2001">
        <f t="shared" si="4"/>
        <v>0</v>
      </c>
    </row>
    <row r="53" spans="1:17" ht="15" thickBot="1" x14ac:dyDescent="0.25">
      <c r="A53" s="373" t="str">
        <f>IF(LEN(КАФЕДРА!A52)&gt;2,КАФЕДРА!A52,"")</f>
        <v>Хирургической стоматологии, челюстно-лицевой хирургии</v>
      </c>
      <c r="B53" s="790" t="str">
        <f>КАФЕДРА!$D52</f>
        <v>СТОМ</v>
      </c>
      <c r="C53" s="1987" t="e">
        <f t="shared" si="3"/>
        <v>#DIV/0!</v>
      </c>
      <c r="D53" s="1965" t="e">
        <f t="shared" si="5"/>
        <v>#DIV/0!</v>
      </c>
      <c r="E53" s="1982">
        <f>IF(OR(ТИТУЛ!$B$22=2,ТИТУЛ!$B$22=4),IF(Q53=0,21,23),0)</f>
        <v>21</v>
      </c>
      <c r="F53" s="1983">
        <f>'НУ(Публикации)'!V52</f>
        <v>0</v>
      </c>
      <c r="G53" s="1983">
        <f>'НУ(Публикации)'!W52</f>
        <v>0</v>
      </c>
      <c r="H53" s="1983">
        <f>'НУ(Публикации)'!X52</f>
        <v>0</v>
      </c>
      <c r="I53" s="1983">
        <f>'НУ(Публикации)'!Y52</f>
        <v>0</v>
      </c>
      <c r="J53" s="1984">
        <f>'НУ(Публикации)'!Z52</f>
        <v>0</v>
      </c>
      <c r="K53" s="1979" t="str">
        <f>'НУ(Финансы)'!L52</f>
        <v>нет</v>
      </c>
      <c r="L53" s="1985">
        <f>SUM('НУ(Финансы)'!I52:J52)</f>
        <v>0</v>
      </c>
      <c r="M53" s="1986"/>
      <c r="N53" s="1986"/>
      <c r="O53" s="1988" t="e">
        <f>IF(SUM('НУ(Публикации)'!AE52:AI52)&gt;14,14,SUM('НУ(Публикации)'!AE52:AI52))</f>
        <v>#DIV/0!</v>
      </c>
      <c r="P53" s="2007" t="e">
        <f t="shared" ref="P53:P76" si="6">K53/100*$K$11</f>
        <v>#VALUE!</v>
      </c>
      <c r="Q53" s="2002">
        <f t="shared" si="4"/>
        <v>0</v>
      </c>
    </row>
    <row r="54" spans="1:17" x14ac:dyDescent="0.2">
      <c r="A54" s="369" t="str">
        <f>IF(LEN(КАФЕДРА!A53)&gt;2,КАФЕДРА!A53,"")</f>
        <v>Биологии, гистологии, эмбриологии и цитологии</v>
      </c>
      <c r="B54" s="791" t="str">
        <f>КАФЕДРА!$D53</f>
        <v>ОЗДОРОВЬЯ</v>
      </c>
      <c r="C54" s="2013" t="e">
        <f t="shared" si="3"/>
        <v>#DIV/0!</v>
      </c>
      <c r="D54" s="1963" t="e">
        <f t="shared" si="5"/>
        <v>#DIV/0!</v>
      </c>
      <c r="E54" s="1989">
        <f>IF(OR(ТИТУЛ!$B$22=2,ТИТУЛ!$B$22=4),IF(Q54=0,21,23),0)</f>
        <v>21</v>
      </c>
      <c r="F54" s="1990">
        <f>'НУ(Публикации)'!V53</f>
        <v>0</v>
      </c>
      <c r="G54" s="1990">
        <f>'НУ(Публикации)'!W53</f>
        <v>0</v>
      </c>
      <c r="H54" s="1990">
        <f>'НУ(Публикации)'!X53</f>
        <v>0</v>
      </c>
      <c r="I54" s="1990">
        <f>'НУ(Публикации)'!Y53</f>
        <v>0</v>
      </c>
      <c r="J54" s="1991">
        <f>'НУ(Публикации)'!Z53</f>
        <v>0</v>
      </c>
      <c r="K54" s="1992" t="str">
        <f>'НУ(Финансы)'!L53</f>
        <v>нет</v>
      </c>
      <c r="L54" s="1972">
        <f>SUM('НУ(Финансы)'!I53:J53)</f>
        <v>0</v>
      </c>
      <c r="M54" s="1993"/>
      <c r="N54" s="1993"/>
      <c r="O54" s="2015" t="e">
        <f>IF(SUM('НУ(Публикации)'!AE53:AI53)&gt;14,14,SUM('НУ(Публикации)'!AE53:AI53))</f>
        <v>#DIV/0!</v>
      </c>
      <c r="P54" s="2008" t="e">
        <f t="shared" si="6"/>
        <v>#VALUE!</v>
      </c>
      <c r="Q54" s="2003">
        <f t="shared" si="4"/>
        <v>0</v>
      </c>
    </row>
    <row r="55" spans="1:17" x14ac:dyDescent="0.2">
      <c r="A55" s="186" t="str">
        <f>IF(LEN(КАФЕДРА!A54)&gt;2,КАФЕДРА!A54,"")</f>
        <v>Гигиены и основ экологии</v>
      </c>
      <c r="B55" s="792" t="str">
        <f>КАФЕДРА!$D54</f>
        <v>ОЗДОРОВЬЯ</v>
      </c>
      <c r="C55" s="201" t="e">
        <f t="shared" si="3"/>
        <v>#DIV/0!</v>
      </c>
      <c r="D55" s="201" t="e">
        <f t="shared" si="5"/>
        <v>#DIV/0!</v>
      </c>
      <c r="E55" s="776">
        <f>IF(OR(ТИТУЛ!$B$22=2,ТИТУЛ!$B$22=4),IF(Q55=0,21,23),0)</f>
        <v>21</v>
      </c>
      <c r="F55" s="870">
        <f>'НУ(Публикации)'!V54</f>
        <v>0</v>
      </c>
      <c r="G55" s="870">
        <f>'НУ(Публикации)'!W54</f>
        <v>0</v>
      </c>
      <c r="H55" s="870">
        <f>'НУ(Публикации)'!X54</f>
        <v>0</v>
      </c>
      <c r="I55" s="870">
        <f>'НУ(Публикации)'!Y54</f>
        <v>0</v>
      </c>
      <c r="J55" s="1969">
        <f>'НУ(Публикации)'!Z54</f>
        <v>0</v>
      </c>
      <c r="K55" s="1978" t="str">
        <f>'НУ(Финансы)'!L54</f>
        <v>нет</v>
      </c>
      <c r="L55" s="1972">
        <f>SUM('НУ(Финансы)'!I54:J54)</f>
        <v>0</v>
      </c>
      <c r="M55" s="407"/>
      <c r="N55" s="407"/>
      <c r="O55" s="1949" t="e">
        <f>IF(SUM('НУ(Публикации)'!AE54:AI54)&gt;14,14,SUM('НУ(Публикации)'!AE54:AI54))</f>
        <v>#DIV/0!</v>
      </c>
      <c r="P55" s="2006" t="e">
        <f t="shared" si="6"/>
        <v>#VALUE!</v>
      </c>
      <c r="Q55" s="2001">
        <f t="shared" si="4"/>
        <v>0</v>
      </c>
    </row>
    <row r="56" spans="1:17" x14ac:dyDescent="0.2">
      <c r="A56" s="186" t="str">
        <f>IF(LEN(КАФЕДРА!A55)&gt;2,КАФЕДРА!A55,"")</f>
        <v>Дерматовенерологии, косметологии и иммунологии</v>
      </c>
      <c r="B56" s="792" t="str">
        <f>КАФЕДРА!$D55</f>
        <v>ОЗДОРОВЬЯ</v>
      </c>
      <c r="C56" s="201" t="e">
        <f t="shared" si="3"/>
        <v>#DIV/0!</v>
      </c>
      <c r="D56" s="201" t="e">
        <f t="shared" si="5"/>
        <v>#DIV/0!</v>
      </c>
      <c r="E56" s="776">
        <f>IF(OR(ТИТУЛ!$B$22=2,ТИТУЛ!$B$22=4),IF(Q56=0,21,23),0)</f>
        <v>21</v>
      </c>
      <c r="F56" s="870">
        <f>'НУ(Публикации)'!V55</f>
        <v>0</v>
      </c>
      <c r="G56" s="870">
        <f>'НУ(Публикации)'!W55</f>
        <v>0</v>
      </c>
      <c r="H56" s="870">
        <f>'НУ(Публикации)'!X55</f>
        <v>0</v>
      </c>
      <c r="I56" s="870">
        <f>'НУ(Публикации)'!Y55</f>
        <v>0</v>
      </c>
      <c r="J56" s="1969">
        <f>'НУ(Публикации)'!Z55</f>
        <v>0</v>
      </c>
      <c r="K56" s="1978" t="str">
        <f>'НУ(Финансы)'!L55</f>
        <v>нет</v>
      </c>
      <c r="L56" s="1972">
        <f>SUM('НУ(Финансы)'!I55:J55)</f>
        <v>0</v>
      </c>
      <c r="M56" s="407"/>
      <c r="N56" s="407"/>
      <c r="O56" s="1949" t="e">
        <f>IF(SUM('НУ(Публикации)'!AE55:AI55)&gt;14,14,SUM('НУ(Публикации)'!AE55:AI55))</f>
        <v>#DIV/0!</v>
      </c>
      <c r="P56" s="2006" t="e">
        <f t="shared" si="6"/>
        <v>#VALUE!</v>
      </c>
      <c r="Q56" s="2001">
        <f t="shared" si="4"/>
        <v>0</v>
      </c>
    </row>
    <row r="57" spans="1:17" x14ac:dyDescent="0.2">
      <c r="A57" s="186" t="str">
        <f>IF(LEN(КАФЕДРА!A56)&gt;2,КАФЕДРА!A56,"")</f>
        <v>Инфекционных болезней с курсом ДПО</v>
      </c>
      <c r="B57" s="792" t="str">
        <f>КАФЕДРА!$D56</f>
        <v>ОЗДОРОВЬЯ</v>
      </c>
      <c r="C57" s="201" t="e">
        <f t="shared" si="3"/>
        <v>#DIV/0!</v>
      </c>
      <c r="D57" s="201" t="e">
        <f t="shared" si="5"/>
        <v>#DIV/0!</v>
      </c>
      <c r="E57" s="776">
        <f>IF(OR(ТИТУЛ!$B$22=2,ТИТУЛ!$B$22=4),IF(Q57=0,21,23),0)</f>
        <v>21</v>
      </c>
      <c r="F57" s="870">
        <f>'НУ(Публикации)'!V56</f>
        <v>0</v>
      </c>
      <c r="G57" s="870">
        <f>'НУ(Публикации)'!W56</f>
        <v>0</v>
      </c>
      <c r="H57" s="870">
        <f>'НУ(Публикации)'!X56</f>
        <v>0</v>
      </c>
      <c r="I57" s="870">
        <f>'НУ(Публикации)'!Y56</f>
        <v>0</v>
      </c>
      <c r="J57" s="1969">
        <f>'НУ(Публикации)'!Z56</f>
        <v>0</v>
      </c>
      <c r="K57" s="1978" t="str">
        <f>'НУ(Финансы)'!L56</f>
        <v>нет</v>
      </c>
      <c r="L57" s="1972">
        <f>SUM('НУ(Финансы)'!I56:J56)</f>
        <v>0</v>
      </c>
      <c r="M57" s="407"/>
      <c r="N57" s="407"/>
      <c r="O57" s="1949" t="e">
        <f>IF(SUM('НУ(Публикации)'!AE56:AI56)&gt;14,14,SUM('НУ(Публикации)'!AE56:AI56))</f>
        <v>#DIV/0!</v>
      </c>
      <c r="P57" s="2006" t="e">
        <f t="shared" si="6"/>
        <v>#VALUE!</v>
      </c>
      <c r="Q57" s="2001">
        <f t="shared" si="4"/>
        <v>0</v>
      </c>
    </row>
    <row r="58" spans="1:17" x14ac:dyDescent="0.2">
      <c r="A58" s="186" t="str">
        <f>IF(LEN(КАФЕДРА!A57)&gt;2,КАФЕДРА!A57,"")</f>
        <v>Медицины катастроф и безопасности жизнедеятельности</v>
      </c>
      <c r="B58" s="792" t="str">
        <f>КАФЕДРА!$D57</f>
        <v>ОЗДОРОВЬЯ</v>
      </c>
      <c r="C58" s="201" t="e">
        <f t="shared" si="3"/>
        <v>#DIV/0!</v>
      </c>
      <c r="D58" s="201" t="e">
        <f t="shared" si="5"/>
        <v>#DIV/0!</v>
      </c>
      <c r="E58" s="776">
        <f>IF(OR(ТИТУЛ!$B$22=2,ТИТУЛ!$B$22=4),IF(Q58=0,21,23),0)</f>
        <v>21</v>
      </c>
      <c r="F58" s="870">
        <f>'НУ(Публикации)'!V57</f>
        <v>0</v>
      </c>
      <c r="G58" s="870">
        <f>'НУ(Публикации)'!W57</f>
        <v>0</v>
      </c>
      <c r="H58" s="870">
        <f>'НУ(Публикации)'!X57</f>
        <v>0</v>
      </c>
      <c r="I58" s="870">
        <f>'НУ(Публикации)'!Y57</f>
        <v>0</v>
      </c>
      <c r="J58" s="1969">
        <f>'НУ(Публикации)'!Z57</f>
        <v>0</v>
      </c>
      <c r="K58" s="1978" t="str">
        <f>'НУ(Финансы)'!L57</f>
        <v>нет</v>
      </c>
      <c r="L58" s="1972">
        <f>SUM('НУ(Финансы)'!I57:J57)</f>
        <v>0</v>
      </c>
      <c r="M58" s="407"/>
      <c r="N58" s="407"/>
      <c r="O58" s="1949" t="e">
        <f>IF(SUM('НУ(Публикации)'!AE57:AI57)&gt;14,14,SUM('НУ(Публикации)'!AE57:AI57))</f>
        <v>#DIV/0!</v>
      </c>
      <c r="P58" s="2006" t="e">
        <f t="shared" si="6"/>
        <v>#VALUE!</v>
      </c>
      <c r="Q58" s="2001">
        <f t="shared" si="4"/>
        <v>0</v>
      </c>
    </row>
    <row r="59" spans="1:17" x14ac:dyDescent="0.2">
      <c r="A59" s="186" t="str">
        <f>IF(LEN(КАФЕДРА!A58)&gt;2,КАФЕДРА!A58,"")</f>
        <v>Медицинского права</v>
      </c>
      <c r="B59" s="792" t="str">
        <f>КАФЕДРА!$D58</f>
        <v>ОЗДОРОВЬЯ</v>
      </c>
      <c r="C59" s="201" t="e">
        <f t="shared" si="3"/>
        <v>#DIV/0!</v>
      </c>
      <c r="D59" s="201" t="e">
        <f t="shared" si="5"/>
        <v>#DIV/0!</v>
      </c>
      <c r="E59" s="776">
        <f>IF(OR(ТИТУЛ!$B$22=2,ТИТУЛ!$B$22=4),IF(Q59=0,21,23),0)</f>
        <v>21</v>
      </c>
      <c r="F59" s="870">
        <f>'НУ(Публикации)'!V58</f>
        <v>0</v>
      </c>
      <c r="G59" s="870">
        <f>'НУ(Публикации)'!W58</f>
        <v>0</v>
      </c>
      <c r="H59" s="870">
        <f>'НУ(Публикации)'!X58</f>
        <v>0</v>
      </c>
      <c r="I59" s="870">
        <f>'НУ(Публикации)'!Y58</f>
        <v>0</v>
      </c>
      <c r="J59" s="1969">
        <f>'НУ(Публикации)'!Z58</f>
        <v>0</v>
      </c>
      <c r="K59" s="1978" t="str">
        <f>'НУ(Финансы)'!L58</f>
        <v>нет</v>
      </c>
      <c r="L59" s="1972">
        <f>SUM('НУ(Финансы)'!I58:J58)</f>
        <v>0</v>
      </c>
      <c r="M59" s="407"/>
      <c r="N59" s="407"/>
      <c r="O59" s="1949" t="e">
        <f>IF(SUM('НУ(Публикации)'!AE58:AI58)&gt;14,14,SUM('НУ(Публикации)'!AE58:AI58))</f>
        <v>#DIV/0!</v>
      </c>
      <c r="P59" s="2006" t="e">
        <f t="shared" si="6"/>
        <v>#VALUE!</v>
      </c>
      <c r="Q59" s="2001">
        <f t="shared" si="4"/>
        <v>0</v>
      </c>
    </row>
    <row r="60" spans="1:17" x14ac:dyDescent="0.2">
      <c r="A60" s="186" t="str">
        <f>IF(LEN(КАФЕДРА!A59)&gt;2,КАФЕДРА!A59,"")</f>
        <v>Общественного здоровья и здравоохранения</v>
      </c>
      <c r="B60" s="792" t="str">
        <f>КАФЕДРА!$D59</f>
        <v>ОЗДОРОВЬЯ</v>
      </c>
      <c r="C60" s="201" t="e">
        <f t="shared" si="3"/>
        <v>#DIV/0!</v>
      </c>
      <c r="D60" s="201" t="e">
        <f t="shared" si="5"/>
        <v>#DIV/0!</v>
      </c>
      <c r="E60" s="776">
        <f>IF(OR(ТИТУЛ!$B$22=2,ТИТУЛ!$B$22=4),IF(Q60=0,21,23),0)</f>
        <v>21</v>
      </c>
      <c r="F60" s="870">
        <f>'НУ(Публикации)'!V59</f>
        <v>0</v>
      </c>
      <c r="G60" s="870">
        <f>'НУ(Публикации)'!W59</f>
        <v>0</v>
      </c>
      <c r="H60" s="870">
        <f>'НУ(Публикации)'!X59</f>
        <v>0</v>
      </c>
      <c r="I60" s="870">
        <f>'НУ(Публикации)'!Y59</f>
        <v>0</v>
      </c>
      <c r="J60" s="1969">
        <f>'НУ(Публикации)'!Z59</f>
        <v>0</v>
      </c>
      <c r="K60" s="1978" t="str">
        <f>'НУ(Финансы)'!L59</f>
        <v>нет</v>
      </c>
      <c r="L60" s="1972">
        <f>SUM('НУ(Финансы)'!I59:J59)</f>
        <v>0</v>
      </c>
      <c r="M60" s="407"/>
      <c r="N60" s="407"/>
      <c r="O60" s="1949" t="e">
        <f>IF(SUM('НУ(Публикации)'!AE59:AI59)&gt;14,14,SUM('НУ(Публикации)'!AE59:AI59))</f>
        <v>#DIV/0!</v>
      </c>
      <c r="P60" s="2006" t="e">
        <f t="shared" si="6"/>
        <v>#VALUE!</v>
      </c>
      <c r="Q60" s="2001">
        <f t="shared" si="4"/>
        <v>0</v>
      </c>
    </row>
    <row r="61" spans="1:17" x14ac:dyDescent="0.2">
      <c r="A61" s="186" t="str">
        <f>IF(LEN(КАФЕДРА!A60)&gt;2,КАФЕДРА!A60,"")</f>
        <v>Пульмонологии и фтизиатрии с курсом ДПО</v>
      </c>
      <c r="B61" s="792" t="str">
        <f>КАФЕДРА!$D60</f>
        <v>ОЗДОРОВЬЯ</v>
      </c>
      <c r="C61" s="201" t="e">
        <f t="shared" si="3"/>
        <v>#DIV/0!</v>
      </c>
      <c r="D61" s="201" t="e">
        <f t="shared" si="5"/>
        <v>#DIV/0!</v>
      </c>
      <c r="E61" s="776">
        <f>IF(OR(ТИТУЛ!$B$22=2,ТИТУЛ!$B$22=4),IF(Q61=0,21,23),0)</f>
        <v>21</v>
      </c>
      <c r="F61" s="870">
        <f>'НУ(Публикации)'!V60</f>
        <v>0</v>
      </c>
      <c r="G61" s="870">
        <f>'НУ(Публикации)'!W60</f>
        <v>0</v>
      </c>
      <c r="H61" s="870">
        <f>'НУ(Публикации)'!X60</f>
        <v>0</v>
      </c>
      <c r="I61" s="870">
        <f>'НУ(Публикации)'!Y60</f>
        <v>0</v>
      </c>
      <c r="J61" s="1969">
        <f>'НУ(Публикации)'!Z60</f>
        <v>0</v>
      </c>
      <c r="K61" s="1978" t="str">
        <f>'НУ(Финансы)'!L60</f>
        <v>нет</v>
      </c>
      <c r="L61" s="1972">
        <f>SUM('НУ(Финансы)'!I60:J60)</f>
        <v>0</v>
      </c>
      <c r="M61" s="407"/>
      <c r="N61" s="407"/>
      <c r="O61" s="1949" t="e">
        <f>IF(SUM('НУ(Публикации)'!AE60:AI60)&gt;14,14,SUM('НУ(Публикации)'!AE60:AI60))</f>
        <v>#DIV/0!</v>
      </c>
      <c r="P61" s="2006" t="e">
        <f t="shared" si="6"/>
        <v>#VALUE!</v>
      </c>
      <c r="Q61" s="2001">
        <f t="shared" si="4"/>
        <v>0</v>
      </c>
    </row>
    <row r="62" spans="1:17" x14ac:dyDescent="0.2">
      <c r="A62" s="186" t="str">
        <f>IF(LEN(КАФЕДРА!A61)&gt;2,КАФЕДРА!A61,"")</f>
        <v>Эпидемиологии, микробиологии и вирусологии</v>
      </c>
      <c r="B62" s="792" t="str">
        <f>КАФЕДРА!$D61</f>
        <v>ОЗДОРОВЬЯ</v>
      </c>
      <c r="C62" s="201" t="e">
        <f t="shared" si="3"/>
        <v>#DIV/0!</v>
      </c>
      <c r="D62" s="201" t="e">
        <f t="shared" si="5"/>
        <v>#DIV/0!</v>
      </c>
      <c r="E62" s="776">
        <f>IF(OR(ТИТУЛ!$B$22=2,ТИТУЛ!$B$22=4),IF(Q62=0,21,23),0)</f>
        <v>21</v>
      </c>
      <c r="F62" s="870">
        <f>'НУ(Публикации)'!V61</f>
        <v>0</v>
      </c>
      <c r="G62" s="870">
        <f>'НУ(Публикации)'!W61</f>
        <v>0</v>
      </c>
      <c r="H62" s="870">
        <f>'НУ(Публикации)'!X61</f>
        <v>0</v>
      </c>
      <c r="I62" s="870">
        <f>'НУ(Публикации)'!Y61</f>
        <v>0</v>
      </c>
      <c r="J62" s="1969">
        <f>'НУ(Публикации)'!Z61</f>
        <v>0</v>
      </c>
      <c r="K62" s="1978" t="str">
        <f>'НУ(Финансы)'!L61</f>
        <v>нет</v>
      </c>
      <c r="L62" s="1972">
        <f>SUM('НУ(Финансы)'!I61:J61)</f>
        <v>0</v>
      </c>
      <c r="M62" s="407"/>
      <c r="N62" s="407"/>
      <c r="O62" s="1949" t="e">
        <f>IF(SUM('НУ(Публикации)'!AE61:AI61)&gt;14,14,SUM('НУ(Публикации)'!AE61:AI61))</f>
        <v>#DIV/0!</v>
      </c>
      <c r="P62" s="2006" t="e">
        <f t="shared" si="6"/>
        <v>#VALUE!</v>
      </c>
      <c r="Q62" s="2001">
        <f t="shared" si="4"/>
        <v>0</v>
      </c>
    </row>
    <row r="63" spans="1:17" ht="15" thickBot="1" x14ac:dyDescent="0.25">
      <c r="A63" s="373" t="str">
        <f>IF(LEN(КАФЕДРА!A62)&gt;2,КАФЕДРА!A62,"")</f>
        <v>Социально-гуманитарных наук</v>
      </c>
      <c r="B63" s="793" t="str">
        <f>КАФЕДРА!$D62</f>
        <v>ОЗДОРОВЬЯ</v>
      </c>
      <c r="C63" s="1987" t="e">
        <f t="shared" si="3"/>
        <v>#DIV/0!</v>
      </c>
      <c r="D63" s="1965" t="e">
        <f t="shared" si="5"/>
        <v>#DIV/0!</v>
      </c>
      <c r="E63" s="1982">
        <f>IF(OR(ТИТУЛ!$B$22=2,ТИТУЛ!$B$22=4),IF(Q63=0,21,23),0)</f>
        <v>21</v>
      </c>
      <c r="F63" s="1983">
        <f>'НУ(Публикации)'!V62</f>
        <v>0</v>
      </c>
      <c r="G63" s="1983">
        <f>'НУ(Публикации)'!W62</f>
        <v>0</v>
      </c>
      <c r="H63" s="1983">
        <f>'НУ(Публикации)'!X62</f>
        <v>0</v>
      </c>
      <c r="I63" s="1983">
        <f>'НУ(Публикации)'!Y62</f>
        <v>0</v>
      </c>
      <c r="J63" s="1984">
        <f>'НУ(Публикации)'!Z62</f>
        <v>0</v>
      </c>
      <c r="K63" s="1979" t="str">
        <f>'НУ(Финансы)'!L62</f>
        <v>нет</v>
      </c>
      <c r="L63" s="1985">
        <f>SUM('НУ(Финансы)'!I62:J62)</f>
        <v>0</v>
      </c>
      <c r="M63" s="1986"/>
      <c r="N63" s="1986"/>
      <c r="O63" s="1988" t="e">
        <f>IF(SUM('НУ(Публикации)'!AE62:AI62)&gt;14,14,SUM('НУ(Публикации)'!AE62:AI62))</f>
        <v>#DIV/0!</v>
      </c>
      <c r="P63" s="2007" t="e">
        <f t="shared" si="6"/>
        <v>#VALUE!</v>
      </c>
      <c r="Q63" s="2002">
        <f t="shared" si="4"/>
        <v>0</v>
      </c>
    </row>
    <row r="64" spans="1:17" ht="15" thickBot="1" x14ac:dyDescent="0.25">
      <c r="A64" s="580" t="str">
        <f>IF(LEN(КАФЕДРА!A63)&gt;2,КАФЕДРА!A63,"")</f>
        <v>Сестринского дела</v>
      </c>
      <c r="B64" s="862" t="str">
        <f>КАФЕДРА!$D63</f>
        <v>СПО</v>
      </c>
      <c r="C64" s="594" t="e">
        <f t="shared" si="3"/>
        <v>#DIV/0!</v>
      </c>
      <c r="D64" s="594" t="e">
        <f t="shared" si="5"/>
        <v>#DIV/0!</v>
      </c>
      <c r="E64" s="780">
        <f>IF(OR(ТИТУЛ!$B$22=2,ТИТУЛ!$B$22=4),IF(Q64=0,21,23),0)</f>
        <v>21</v>
      </c>
      <c r="F64" s="1996">
        <f>'НУ(Публикации)'!V63</f>
        <v>0</v>
      </c>
      <c r="G64" s="1996">
        <f>'НУ(Публикации)'!W63</f>
        <v>0</v>
      </c>
      <c r="H64" s="1996">
        <f>'НУ(Публикации)'!X63</f>
        <v>0</v>
      </c>
      <c r="I64" s="1996">
        <f>'НУ(Публикации)'!Y63</f>
        <v>0</v>
      </c>
      <c r="J64" s="1997">
        <f>'НУ(Публикации)'!Z63</f>
        <v>0</v>
      </c>
      <c r="K64" s="1998" t="str">
        <f>'НУ(Финансы)'!L63</f>
        <v>нет</v>
      </c>
      <c r="L64" s="1999">
        <f>SUM('НУ(Финансы)'!I63:J63)</f>
        <v>0</v>
      </c>
      <c r="M64" s="598"/>
      <c r="N64" s="598"/>
      <c r="O64" s="2017" t="e">
        <f>IF(SUM('НУ(Публикации)'!AE63:AI63)&gt;14,14,SUM('НУ(Публикации)'!AE63:AI63))</f>
        <v>#DIV/0!</v>
      </c>
      <c r="P64" s="2009" t="e">
        <f t="shared" si="6"/>
        <v>#VALUE!</v>
      </c>
      <c r="Q64" s="2004">
        <f t="shared" si="4"/>
        <v>0</v>
      </c>
    </row>
    <row r="65" spans="1:17" x14ac:dyDescent="0.2">
      <c r="A65" s="369" t="str">
        <f>IF(LEN(КАФЕДРА!A64)&gt;2,КАФЕДРА!A64,"")</f>
        <v>Биологической химии, клинической лабораторной диагностики</v>
      </c>
      <c r="B65" s="796" t="str">
        <f>КАФЕДРА!$D64</f>
        <v>ФАРМ</v>
      </c>
      <c r="C65" s="2013" t="e">
        <f t="shared" si="3"/>
        <v>#DIV/0!</v>
      </c>
      <c r="D65" s="1963" t="e">
        <f t="shared" si="5"/>
        <v>#DIV/0!</v>
      </c>
      <c r="E65" s="1989">
        <f>IF(OR(ТИТУЛ!$B$22=2,ТИТУЛ!$B$22=4),IF(Q65=0,21,23),0)</f>
        <v>21</v>
      </c>
      <c r="F65" s="1990">
        <f>'НУ(Публикации)'!V64</f>
        <v>0</v>
      </c>
      <c r="G65" s="1990">
        <f>'НУ(Публикации)'!W64</f>
        <v>0</v>
      </c>
      <c r="H65" s="1990">
        <f>'НУ(Публикации)'!X64</f>
        <v>0</v>
      </c>
      <c r="I65" s="1990">
        <f>'НУ(Публикации)'!Y64</f>
        <v>0</v>
      </c>
      <c r="J65" s="1991">
        <f>'НУ(Публикации)'!Z64</f>
        <v>0</v>
      </c>
      <c r="K65" s="1992" t="str">
        <f>'НУ(Финансы)'!L64</f>
        <v>нет</v>
      </c>
      <c r="L65" s="1972">
        <f>SUM('НУ(Финансы)'!I64:J64)</f>
        <v>0</v>
      </c>
      <c r="M65" s="1993"/>
      <c r="N65" s="1993"/>
      <c r="O65" s="2015" t="e">
        <f>IF(SUM('НУ(Публикации)'!AE64:AI64)&gt;14,14,SUM('НУ(Публикации)'!AE64:AI64))</f>
        <v>#DIV/0!</v>
      </c>
      <c r="P65" s="2008" t="e">
        <f t="shared" si="6"/>
        <v>#VALUE!</v>
      </c>
      <c r="Q65" s="2003">
        <f t="shared" si="4"/>
        <v>0</v>
      </c>
    </row>
    <row r="66" spans="1:17" x14ac:dyDescent="0.2">
      <c r="A66" s="186" t="str">
        <f>IF(LEN(КАФЕДРА!A65)&gt;2,КАФЕДРА!A65,"")</f>
        <v>Химии</v>
      </c>
      <c r="B66" s="797" t="str">
        <f>КАФЕДРА!$D65</f>
        <v>ФАРМ</v>
      </c>
      <c r="C66" s="201" t="e">
        <f t="shared" si="3"/>
        <v>#DIV/0!</v>
      </c>
      <c r="D66" s="201" t="e">
        <f t="shared" si="5"/>
        <v>#DIV/0!</v>
      </c>
      <c r="E66" s="776">
        <f>IF(OR(ТИТУЛ!$B$22=2,ТИТУЛ!$B$22=4),IF(Q66=0,21,23),0)</f>
        <v>21</v>
      </c>
      <c r="F66" s="870">
        <f>'НУ(Публикации)'!V65</f>
        <v>0</v>
      </c>
      <c r="G66" s="870">
        <f>'НУ(Публикации)'!W65</f>
        <v>0</v>
      </c>
      <c r="H66" s="870">
        <f>'НУ(Публикации)'!X65</f>
        <v>0</v>
      </c>
      <c r="I66" s="870">
        <f>'НУ(Публикации)'!Y65</f>
        <v>0</v>
      </c>
      <c r="J66" s="1969">
        <f>'НУ(Публикации)'!Z65</f>
        <v>0</v>
      </c>
      <c r="K66" s="1978" t="str">
        <f>'НУ(Финансы)'!L65</f>
        <v>нет</v>
      </c>
      <c r="L66" s="1972">
        <f>SUM('НУ(Финансы)'!I65:J65)</f>
        <v>0</v>
      </c>
      <c r="M66" s="407"/>
      <c r="N66" s="407"/>
      <c r="O66" s="1949" t="e">
        <f>IF(SUM('НУ(Публикации)'!AE65:AI65)&gt;14,14,SUM('НУ(Публикации)'!AE65:AI65))</f>
        <v>#DIV/0!</v>
      </c>
      <c r="P66" s="2006" t="e">
        <f t="shared" si="6"/>
        <v>#VALUE!</v>
      </c>
      <c r="Q66" s="2001">
        <f t="shared" si="4"/>
        <v>0</v>
      </c>
    </row>
    <row r="67" spans="1:17" x14ac:dyDescent="0.2">
      <c r="A67" s="186" t="str">
        <f>IF(LEN(КАФЕДРА!A66)&gt;2,КАФЕДРА!A66,"")</f>
        <v>Фармакологии имени профессора В.М. Брюханова</v>
      </c>
      <c r="B67" s="797" t="str">
        <f>КАФЕДРА!$D66</f>
        <v>ФАРМ</v>
      </c>
      <c r="C67" s="201" t="e">
        <f t="shared" si="3"/>
        <v>#DIV/0!</v>
      </c>
      <c r="D67" s="201" t="e">
        <f t="shared" si="5"/>
        <v>#DIV/0!</v>
      </c>
      <c r="E67" s="776">
        <f>IF(OR(ТИТУЛ!$B$22=2,ТИТУЛ!$B$22=4),IF(Q67=0,21,23),0)</f>
        <v>21</v>
      </c>
      <c r="F67" s="870">
        <f>'НУ(Публикации)'!V66</f>
        <v>0</v>
      </c>
      <c r="G67" s="870">
        <f>'НУ(Публикации)'!W66</f>
        <v>0</v>
      </c>
      <c r="H67" s="870">
        <f>'НУ(Публикации)'!X66</f>
        <v>0</v>
      </c>
      <c r="I67" s="870">
        <f>'НУ(Публикации)'!Y66</f>
        <v>0</v>
      </c>
      <c r="J67" s="1969">
        <f>'НУ(Публикации)'!Z66</f>
        <v>0</v>
      </c>
      <c r="K67" s="1978" t="str">
        <f>'НУ(Финансы)'!L66</f>
        <v>нет</v>
      </c>
      <c r="L67" s="1972">
        <f>SUM('НУ(Финансы)'!I66:J66)</f>
        <v>0</v>
      </c>
      <c r="M67" s="407"/>
      <c r="N67" s="407"/>
      <c r="O67" s="1949" t="e">
        <f>IF(SUM('НУ(Публикации)'!AE66:AI66)&gt;14,14,SUM('НУ(Публикации)'!AE66:AI66))</f>
        <v>#DIV/0!</v>
      </c>
      <c r="P67" s="2006" t="e">
        <f t="shared" si="6"/>
        <v>#VALUE!</v>
      </c>
      <c r="Q67" s="2001">
        <f t="shared" si="4"/>
        <v>0</v>
      </c>
    </row>
    <row r="68" spans="1:17" x14ac:dyDescent="0.2">
      <c r="A68" s="186" t="str">
        <f>IF(LEN(КАФЕДРА!A67)&gt;2,КАФЕДРА!A67,"")</f>
        <v>Фармации</v>
      </c>
      <c r="B68" s="797" t="str">
        <f>КАФЕДРА!$D67</f>
        <v>ФАРМ</v>
      </c>
      <c r="C68" s="201" t="e">
        <f t="shared" si="3"/>
        <v>#DIV/0!</v>
      </c>
      <c r="D68" s="201" t="e">
        <f t="shared" si="5"/>
        <v>#DIV/0!</v>
      </c>
      <c r="E68" s="776">
        <f>IF(OR(ТИТУЛ!$B$22=2,ТИТУЛ!$B$22=4),IF(Q68=0,21,23),0)</f>
        <v>21</v>
      </c>
      <c r="F68" s="870">
        <f>'НУ(Публикации)'!V67</f>
        <v>0</v>
      </c>
      <c r="G68" s="870">
        <f>'НУ(Публикации)'!W67</f>
        <v>0</v>
      </c>
      <c r="H68" s="870">
        <f>'НУ(Публикации)'!X67</f>
        <v>0</v>
      </c>
      <c r="I68" s="870">
        <f>'НУ(Публикации)'!Y67</f>
        <v>0</v>
      </c>
      <c r="J68" s="1969">
        <f>'НУ(Публикации)'!Z67</f>
        <v>0</v>
      </c>
      <c r="K68" s="1978" t="str">
        <f>'НУ(Финансы)'!L67</f>
        <v>нет</v>
      </c>
      <c r="L68" s="1972">
        <f>SUM('НУ(Финансы)'!I67:J67)</f>
        <v>0</v>
      </c>
      <c r="M68" s="407"/>
      <c r="N68" s="407"/>
      <c r="O68" s="1949" t="e">
        <f>IF(SUM('НУ(Публикации)'!AE67:AI67)&gt;14,14,SUM('НУ(Публикации)'!AE67:AI67))</f>
        <v>#DIV/0!</v>
      </c>
      <c r="P68" s="2006" t="e">
        <f t="shared" si="6"/>
        <v>#VALUE!</v>
      </c>
      <c r="Q68" s="2001">
        <f t="shared" si="4"/>
        <v>0</v>
      </c>
    </row>
    <row r="69" spans="1:17" ht="15" thickBot="1" x14ac:dyDescent="0.25">
      <c r="A69" s="373" t="str">
        <f>IF(LEN(КАФЕДРА!A68)&gt;2,КАФЕДРА!A68,"")</f>
        <v>Физики и информатики</v>
      </c>
      <c r="B69" s="798" t="str">
        <f>КАФЕДРА!$D68</f>
        <v>ФАРМ</v>
      </c>
      <c r="C69" s="1987" t="e">
        <f t="shared" si="3"/>
        <v>#DIV/0!</v>
      </c>
      <c r="D69" s="1965" t="e">
        <f t="shared" si="5"/>
        <v>#DIV/0!</v>
      </c>
      <c r="E69" s="1982">
        <f>IF(OR(ТИТУЛ!$B$22=2,ТИТУЛ!$B$22=4),IF(Q69=0,21,23),0)</f>
        <v>21</v>
      </c>
      <c r="F69" s="1983">
        <f>'НУ(Публикации)'!V68</f>
        <v>0</v>
      </c>
      <c r="G69" s="1983">
        <f>'НУ(Публикации)'!W68</f>
        <v>0</v>
      </c>
      <c r="H69" s="1983">
        <f>'НУ(Публикации)'!X68</f>
        <v>0</v>
      </c>
      <c r="I69" s="1983">
        <f>'НУ(Публикации)'!Y68</f>
        <v>0</v>
      </c>
      <c r="J69" s="1984">
        <f>'НУ(Публикации)'!Z68</f>
        <v>0</v>
      </c>
      <c r="K69" s="1979" t="str">
        <f>'НУ(Финансы)'!L68</f>
        <v>нет</v>
      </c>
      <c r="L69" s="1985">
        <f>SUM('НУ(Финансы)'!I68:J68)</f>
        <v>0</v>
      </c>
      <c r="M69" s="1986"/>
      <c r="N69" s="1986"/>
      <c r="O69" s="1988" t="e">
        <f>IF(SUM('НУ(Публикации)'!AE68:AI68)&gt;14,14,SUM('НУ(Публикации)'!AE68:AI68))</f>
        <v>#DIV/0!</v>
      </c>
      <c r="P69" s="2007" t="e">
        <f t="shared" si="6"/>
        <v>#VALUE!</v>
      </c>
      <c r="Q69" s="2002">
        <f t="shared" si="4"/>
        <v>0</v>
      </c>
    </row>
    <row r="70" spans="1:17" x14ac:dyDescent="0.2">
      <c r="A70" s="369" t="str">
        <f>IF(LEN(КАФЕДРА!A69)&gt;2,КАФЕДРА!A69,"")</f>
        <v>Клинической психологии</v>
      </c>
      <c r="B70" s="799" t="str">
        <f>КАФЕДРА!$D69</f>
        <v>КПСИХОЛОГИИ</v>
      </c>
      <c r="C70" s="2013" t="e">
        <f t="shared" si="3"/>
        <v>#DIV/0!</v>
      </c>
      <c r="D70" s="1963" t="e">
        <f t="shared" si="5"/>
        <v>#DIV/0!</v>
      </c>
      <c r="E70" s="1989">
        <f>IF(OR(ТИТУЛ!$B$22=2,ТИТУЛ!$B$22=4),IF(Q70=0,21,23),0)</f>
        <v>21</v>
      </c>
      <c r="F70" s="1990">
        <f>'НУ(Публикации)'!V69</f>
        <v>0</v>
      </c>
      <c r="G70" s="1990">
        <f>'НУ(Публикации)'!W69</f>
        <v>0</v>
      </c>
      <c r="H70" s="1990">
        <f>'НУ(Публикации)'!X69</f>
        <v>0</v>
      </c>
      <c r="I70" s="1990">
        <f>'НУ(Публикации)'!Y69</f>
        <v>0</v>
      </c>
      <c r="J70" s="1991">
        <f>'НУ(Публикации)'!Z69</f>
        <v>0</v>
      </c>
      <c r="K70" s="1992" t="str">
        <f>'НУ(Финансы)'!L69</f>
        <v>нет</v>
      </c>
      <c r="L70" s="1972">
        <f>SUM('НУ(Финансы)'!I69:J69)</f>
        <v>0</v>
      </c>
      <c r="M70" s="1993"/>
      <c r="N70" s="1993"/>
      <c r="O70" s="2015" t="e">
        <f>IF(SUM('НУ(Публикации)'!AE69:AI69)&gt;14,14,SUM('НУ(Публикации)'!AE69:AI69))</f>
        <v>#DIV/0!</v>
      </c>
      <c r="P70" s="2008" t="e">
        <f t="shared" si="6"/>
        <v>#VALUE!</v>
      </c>
      <c r="Q70" s="2003">
        <f t="shared" si="4"/>
        <v>0</v>
      </c>
    </row>
    <row r="71" spans="1:17" x14ac:dyDescent="0.2">
      <c r="A71" s="186" t="str">
        <f>IF(LEN(КАФЕДРА!A70)&gt;2,КАФЕДРА!A70,"")</f>
        <v>Медицинской реабилитологии с курсом ДПО</v>
      </c>
      <c r="B71" s="800" t="str">
        <f>КАФЕДРА!$D70</f>
        <v>КПСИХОЛОГИИ</v>
      </c>
      <c r="C71" s="201" t="e">
        <f t="shared" si="3"/>
        <v>#DIV/0!</v>
      </c>
      <c r="D71" s="201" t="e">
        <f t="shared" si="5"/>
        <v>#DIV/0!</v>
      </c>
      <c r="E71" s="776">
        <f>IF(OR(ТИТУЛ!$B$22=2,ТИТУЛ!$B$22=4),IF(Q71=0,21,23),0)</f>
        <v>21</v>
      </c>
      <c r="F71" s="870">
        <f>'НУ(Публикации)'!V70</f>
        <v>0</v>
      </c>
      <c r="G71" s="870">
        <f>'НУ(Публикации)'!W70</f>
        <v>0</v>
      </c>
      <c r="H71" s="870">
        <f>'НУ(Публикации)'!X70</f>
        <v>0</v>
      </c>
      <c r="I71" s="870">
        <f>'НУ(Публикации)'!Y70</f>
        <v>0</v>
      </c>
      <c r="J71" s="1969">
        <f>'НУ(Публикации)'!Z70</f>
        <v>0</v>
      </c>
      <c r="K71" s="1978" t="str">
        <f>'НУ(Финансы)'!L70</f>
        <v>нет</v>
      </c>
      <c r="L71" s="1972">
        <f>SUM('НУ(Финансы)'!I70:J70)</f>
        <v>0</v>
      </c>
      <c r="M71" s="407"/>
      <c r="N71" s="407"/>
      <c r="O71" s="1949" t="e">
        <f>IF(SUM('НУ(Публикации)'!AE70:AI70)&gt;14,14,SUM('НУ(Публикации)'!AE70:AI70))</f>
        <v>#DIV/0!</v>
      </c>
      <c r="P71" s="2006" t="e">
        <f t="shared" si="6"/>
        <v>#VALUE!</v>
      </c>
      <c r="Q71" s="2001">
        <f t="shared" si="4"/>
        <v>0</v>
      </c>
    </row>
    <row r="72" spans="1:17" x14ac:dyDescent="0.2">
      <c r="A72" s="186" t="str">
        <f>IF(LEN(КАФЕДРА!A71)&gt;2,КАФЕДРА!A71,"")</f>
        <v>Психиатрии, медицинской психологии и наркологии с курсом ДПО</v>
      </c>
      <c r="B72" s="800" t="str">
        <f>КАФЕДРА!$D71</f>
        <v>КПСИХОЛОГИИ</v>
      </c>
      <c r="C72" s="201" t="e">
        <f t="shared" si="3"/>
        <v>#DIV/0!</v>
      </c>
      <c r="D72" s="201" t="e">
        <f t="shared" si="5"/>
        <v>#DIV/0!</v>
      </c>
      <c r="E72" s="776">
        <f>IF(OR(ТИТУЛ!$B$22=2,ТИТУЛ!$B$22=4),IF(Q72=0,21,23),0)</f>
        <v>21</v>
      </c>
      <c r="F72" s="870">
        <f>'НУ(Публикации)'!V71</f>
        <v>0</v>
      </c>
      <c r="G72" s="870">
        <f>'НУ(Публикации)'!W71</f>
        <v>0</v>
      </c>
      <c r="H72" s="870">
        <f>'НУ(Публикации)'!X71</f>
        <v>0</v>
      </c>
      <c r="I72" s="870">
        <f>'НУ(Публикации)'!Y71</f>
        <v>0</v>
      </c>
      <c r="J72" s="1969">
        <f>'НУ(Публикации)'!Z71</f>
        <v>0</v>
      </c>
      <c r="K72" s="1978" t="str">
        <f>'НУ(Финансы)'!L71</f>
        <v>нет</v>
      </c>
      <c r="L72" s="1972">
        <f>SUM('НУ(Финансы)'!I71:J71)</f>
        <v>0</v>
      </c>
      <c r="M72" s="407"/>
      <c r="N72" s="407"/>
      <c r="O72" s="1949" t="e">
        <f>IF(SUM('НУ(Публикации)'!AE71:AI71)&gt;14,14,SUM('НУ(Публикации)'!AE71:AI71))</f>
        <v>#DIV/0!</v>
      </c>
      <c r="P72" s="2006" t="e">
        <f t="shared" si="6"/>
        <v>#VALUE!</v>
      </c>
      <c r="Q72" s="2001">
        <f t="shared" si="4"/>
        <v>0</v>
      </c>
    </row>
    <row r="73" spans="1:17" s="767" customFormat="1" x14ac:dyDescent="0.2">
      <c r="A73" s="186" t="str">
        <f>IF(LEN(КАФЕДРА!A72)&gt;2,КАФЕДРА!A72,"")</f>
        <v>Философии</v>
      </c>
      <c r="B73" s="800" t="str">
        <f>КАФЕДРА!$D72</f>
        <v>КПСИХОЛОГИИ</v>
      </c>
      <c r="C73" s="201" t="e">
        <f t="shared" si="3"/>
        <v>#DIV/0!</v>
      </c>
      <c r="D73" s="201" t="e">
        <f t="shared" si="5"/>
        <v>#DIV/0!</v>
      </c>
      <c r="E73" s="776">
        <f>IF(OR(ТИТУЛ!$B$22=2,ТИТУЛ!$B$22=4),IF(Q73=0,21,23),0)</f>
        <v>21</v>
      </c>
      <c r="F73" s="870">
        <f>'НУ(Публикации)'!V72</f>
        <v>0</v>
      </c>
      <c r="G73" s="870">
        <f>'НУ(Публикации)'!W72</f>
        <v>0</v>
      </c>
      <c r="H73" s="870">
        <f>'НУ(Публикации)'!X72</f>
        <v>0</v>
      </c>
      <c r="I73" s="870">
        <f>'НУ(Публикации)'!Y72</f>
        <v>0</v>
      </c>
      <c r="J73" s="1969">
        <f>'НУ(Публикации)'!Z72</f>
        <v>0</v>
      </c>
      <c r="K73" s="1978" t="str">
        <f>'НУ(Финансы)'!L72</f>
        <v>нет</v>
      </c>
      <c r="L73" s="1972">
        <f>SUM('НУ(Финансы)'!I72:J72)</f>
        <v>0</v>
      </c>
      <c r="M73" s="407"/>
      <c r="N73" s="407"/>
      <c r="O73" s="1949" t="e">
        <f>IF(SUM('НУ(Публикации)'!AE72:AI72)&gt;14,14,SUM('НУ(Публикации)'!AE72:AI72))</f>
        <v>#DIV/0!</v>
      </c>
      <c r="P73" s="2006" t="e">
        <f t="shared" si="6"/>
        <v>#VALUE!</v>
      </c>
      <c r="Q73" s="2001">
        <f t="shared" si="4"/>
        <v>0</v>
      </c>
    </row>
    <row r="74" spans="1:17" ht="15" thickBot="1" x14ac:dyDescent="0.25">
      <c r="A74" s="373" t="str">
        <f>IF(LEN(КАФЕДРА!A73)&gt;2,КАФЕДРА!A73,"")</f>
        <v>Истории</v>
      </c>
      <c r="B74" s="801" t="str">
        <f>КАФЕДРА!$D73</f>
        <v>КПСИХОЛОГИИ</v>
      </c>
      <c r="C74" s="1965" t="e">
        <f t="shared" si="3"/>
        <v>#DIV/0!</v>
      </c>
      <c r="D74" s="1965" t="e">
        <f t="shared" si="5"/>
        <v>#DIV/0!</v>
      </c>
      <c r="E74" s="1982">
        <f>IF(OR(ТИТУЛ!$B$22=2,ТИТУЛ!$B$22=4),IF(Q74=0,21,23),0)</f>
        <v>21</v>
      </c>
      <c r="F74" s="1983">
        <f>'НУ(Публикации)'!V73</f>
        <v>0</v>
      </c>
      <c r="G74" s="1983">
        <f>'НУ(Публикации)'!W73</f>
        <v>0</v>
      </c>
      <c r="H74" s="1983">
        <f>'НУ(Публикации)'!X73</f>
        <v>0</v>
      </c>
      <c r="I74" s="1983">
        <f>'НУ(Публикации)'!Y73</f>
        <v>0</v>
      </c>
      <c r="J74" s="1984">
        <f>'НУ(Публикации)'!Z73</f>
        <v>0</v>
      </c>
      <c r="K74" s="1979" t="str">
        <f>'НУ(Финансы)'!L73</f>
        <v>нет</v>
      </c>
      <c r="L74" s="1985">
        <f>SUM('НУ(Финансы)'!I73:J73)</f>
        <v>0</v>
      </c>
      <c r="M74" s="1986"/>
      <c r="N74" s="1986"/>
      <c r="O74" s="1988" t="e">
        <f>IF(SUM('НУ(Публикации)'!AE73:AI73)&gt;14,14,SUM('НУ(Публикации)'!AE73:AI73))</f>
        <v>#DIV/0!</v>
      </c>
      <c r="P74" s="2007" t="e">
        <f t="shared" si="6"/>
        <v>#VALUE!</v>
      </c>
      <c r="Q74" s="2002">
        <f t="shared" si="4"/>
        <v>0</v>
      </c>
    </row>
    <row r="75" spans="1:17" x14ac:dyDescent="0.2">
      <c r="A75" s="369" t="str">
        <f>IF(LEN(КАФЕДРА!A74)&gt;2,КАФЕДРА!A74,"")</f>
        <v>Иностранных языков с курсом латинского языка</v>
      </c>
      <c r="B75" s="795" t="str">
        <f>КАФЕДРА!$D74</f>
        <v>ФИС</v>
      </c>
      <c r="C75" s="1963" t="e">
        <f t="shared" si="3"/>
        <v>#DIV/0!</v>
      </c>
      <c r="D75" s="1963" t="e">
        <f t="shared" si="5"/>
        <v>#DIV/0!</v>
      </c>
      <c r="E75" s="1989">
        <f>IF(OR(ТИТУЛ!$B$22=2,ТИТУЛ!$B$22=4),IF(Q75=0,21,23),0)</f>
        <v>21</v>
      </c>
      <c r="F75" s="1990">
        <f>'НУ(Публикации)'!V74</f>
        <v>0</v>
      </c>
      <c r="G75" s="1990">
        <f>'НУ(Публикации)'!W74</f>
        <v>0</v>
      </c>
      <c r="H75" s="1990">
        <f>'НУ(Публикации)'!X74</f>
        <v>0</v>
      </c>
      <c r="I75" s="1990">
        <f>'НУ(Публикации)'!Y74</f>
        <v>0</v>
      </c>
      <c r="J75" s="1991">
        <f>'НУ(Публикации)'!Z74</f>
        <v>0</v>
      </c>
      <c r="K75" s="1992" t="str">
        <f>'НУ(Финансы)'!L74</f>
        <v>нет</v>
      </c>
      <c r="L75" s="1972">
        <f>SUM('НУ(Финансы)'!I74:J74)</f>
        <v>0</v>
      </c>
      <c r="M75" s="1993"/>
      <c r="N75" s="1993"/>
      <c r="O75" s="2015" t="e">
        <f>IF(SUM('НУ(Публикации)'!AE74:AI74)&gt;14,14,SUM('НУ(Публикации)'!AE74:AI74))</f>
        <v>#DIV/0!</v>
      </c>
      <c r="P75" s="2008" t="e">
        <f t="shared" si="6"/>
        <v>#VALUE!</v>
      </c>
      <c r="Q75" s="2003">
        <f t="shared" si="4"/>
        <v>0</v>
      </c>
    </row>
    <row r="76" spans="1:17" ht="15" thickBot="1" x14ac:dyDescent="0.25">
      <c r="A76" s="186" t="str">
        <f>IF(LEN(КАФЕДРА!A75)&gt;2,КАФЕДРА!A75,"")</f>
        <v>Русского языка как иностранного</v>
      </c>
      <c r="B76" s="784" t="str">
        <f>КАФЕДРА!$D75</f>
        <v>ФИС</v>
      </c>
      <c r="C76" s="201" t="e">
        <f t="shared" si="3"/>
        <v>#DIV/0!</v>
      </c>
      <c r="D76" s="201" t="e">
        <f t="shared" si="5"/>
        <v>#DIV/0!</v>
      </c>
      <c r="E76" s="776">
        <f>IF(OR(ТИТУЛ!$B$22=2,ТИТУЛ!$B$22=4),IF(Q76=0,21,23),0)</f>
        <v>21</v>
      </c>
      <c r="F76" s="870">
        <f>'НУ(Публикации)'!V75</f>
        <v>0</v>
      </c>
      <c r="G76" s="870">
        <f>'НУ(Публикации)'!W75</f>
        <v>0</v>
      </c>
      <c r="H76" s="870">
        <f>'НУ(Публикации)'!X75</f>
        <v>0</v>
      </c>
      <c r="I76" s="870">
        <f>'НУ(Публикации)'!Y75</f>
        <v>0</v>
      </c>
      <c r="J76" s="1969">
        <f>'НУ(Публикации)'!Z75</f>
        <v>0</v>
      </c>
      <c r="K76" s="1978" t="str">
        <f>'НУ(Финансы)'!L75</f>
        <v>нет</v>
      </c>
      <c r="L76" s="1972">
        <f>SUM('НУ(Финансы)'!I75:J75)</f>
        <v>0</v>
      </c>
      <c r="M76" s="407"/>
      <c r="N76" s="407"/>
      <c r="O76" s="1949" t="e">
        <f>IF(SUM('НУ(Публикации)'!AE75:AI75)&gt;14,14,SUM('НУ(Публикации)'!AE75:AI75))</f>
        <v>#DIV/0!</v>
      </c>
      <c r="P76" s="2006" t="e">
        <f t="shared" si="6"/>
        <v>#VALUE!</v>
      </c>
      <c r="Q76" s="2001">
        <f t="shared" si="4"/>
        <v>0</v>
      </c>
    </row>
    <row r="77" spans="1:17" x14ac:dyDescent="0.2">
      <c r="A77" s="582" t="s">
        <v>501</v>
      </c>
      <c r="B77" s="784" t="str">
        <f>КАФЕДРА!$D76</f>
        <v>ОиДПО</v>
      </c>
      <c r="C77" s="201">
        <f t="shared" si="3"/>
        <v>0</v>
      </c>
      <c r="D77" s="201">
        <f t="shared" si="5"/>
        <v>0</v>
      </c>
      <c r="E77" s="776">
        <f>IF(OR(ТИТУЛ!$B$22=2,ТИТУЛ!$B$22=4),IF(Q77=0,21,23),0)</f>
        <v>21</v>
      </c>
      <c r="F77" s="870">
        <f>'НУ(Публикации)'!V76</f>
        <v>0</v>
      </c>
      <c r="G77" s="870">
        <f>'НУ(Публикации)'!W76</f>
        <v>0</v>
      </c>
      <c r="H77" s="870">
        <f>'НУ(Публикации)'!X76</f>
        <v>0</v>
      </c>
      <c r="I77" s="870">
        <f>'НУ(Публикации)'!Y76</f>
        <v>0</v>
      </c>
      <c r="J77" s="1969">
        <f>'НУ(Публикации)'!Z76</f>
        <v>0</v>
      </c>
      <c r="K77" s="1978" t="str">
        <f>'НУ(Финансы)'!L76</f>
        <v>нет</v>
      </c>
      <c r="L77" s="1972">
        <f>SUM('НУ(Финансы)'!I76:J76)</f>
        <v>0</v>
      </c>
      <c r="M77" s="407"/>
      <c r="N77" s="407"/>
      <c r="O77" s="1949">
        <f>IF(SUM('НУ(Публикации)'!AE76:AI76)&gt;14,14,SUM('НУ(Публикации)'!AE76:AI76))</f>
        <v>0</v>
      </c>
      <c r="P77" s="2006" t="str">
        <f>IF(K77="нет","нет",K77)</f>
        <v>нет</v>
      </c>
      <c r="Q77" s="2001">
        <f t="shared" si="4"/>
        <v>0</v>
      </c>
    </row>
    <row r="78" spans="1:17" ht="15" thickBot="1" x14ac:dyDescent="0.25">
      <c r="A78" s="1980" t="s">
        <v>502</v>
      </c>
      <c r="B78" s="1981" t="str">
        <f>КАФЕДРА!$D77</f>
        <v>ОиДПО</v>
      </c>
      <c r="C78" s="1965" t="e">
        <f t="shared" si="3"/>
        <v>#DIV/0!</v>
      </c>
      <c r="D78" s="1965" t="e">
        <f t="shared" si="5"/>
        <v>#DIV/0!</v>
      </c>
      <c r="E78" s="1982">
        <f>IF(OR(ТИТУЛ!$B$22=2,ТИТУЛ!$B$22=4),IF(Q78=0,21,23),0)</f>
        <v>21</v>
      </c>
      <c r="F78" s="1983">
        <f>'НУ(Публикации)'!V77</f>
        <v>0</v>
      </c>
      <c r="G78" s="1983">
        <f>'НУ(Публикации)'!W77</f>
        <v>0</v>
      </c>
      <c r="H78" s="1983">
        <f>'НУ(Публикации)'!X77</f>
        <v>0</v>
      </c>
      <c r="I78" s="1983">
        <f>'НУ(Публикации)'!Y77</f>
        <v>0</v>
      </c>
      <c r="J78" s="1984">
        <f>'НУ(Публикации)'!Z77</f>
        <v>0</v>
      </c>
      <c r="K78" s="1979" t="str">
        <f>'НУ(Финансы)'!L77</f>
        <v>нет</v>
      </c>
      <c r="L78" s="1985">
        <f>SUM('НУ(Финансы)'!I77:J77)</f>
        <v>0</v>
      </c>
      <c r="M78" s="1986"/>
      <c r="N78" s="1986"/>
      <c r="O78" s="1988" t="e">
        <f>IF(SUM('НУ(Публикации)'!AE77:AI77)&gt;14,14,SUM('НУ(Публикации)'!AE77:AI77))</f>
        <v>#DIV/0!</v>
      </c>
      <c r="P78" s="2007" t="e">
        <f>K78/100*$K$11</f>
        <v>#VALUE!</v>
      </c>
      <c r="Q78" s="2002">
        <f t="shared" si="4"/>
        <v>0</v>
      </c>
    </row>
    <row r="79" spans="1:17" x14ac:dyDescent="0.2">
      <c r="O79" s="371"/>
    </row>
    <row r="83" spans="1:12" s="253" customFormat="1" x14ac:dyDescent="0.2">
      <c r="A83" s="146"/>
      <c r="B83" s="146"/>
      <c r="C83" s="732"/>
      <c r="D83" s="732"/>
      <c r="E83" s="732"/>
      <c r="F83" s="149"/>
      <c r="G83" s="149"/>
      <c r="H83" s="149"/>
      <c r="I83" s="149"/>
      <c r="J83" s="149"/>
      <c r="K83" s="146"/>
      <c r="L83" s="146"/>
    </row>
    <row r="84" spans="1:12" s="253" customFormat="1" x14ac:dyDescent="0.2">
      <c r="A84" s="146"/>
      <c r="B84" s="146"/>
      <c r="C84" s="732"/>
      <c r="D84" s="732"/>
      <c r="E84" s="732"/>
      <c r="F84" s="149"/>
      <c r="G84" s="149"/>
      <c r="H84" s="149"/>
      <c r="I84" s="149"/>
      <c r="J84" s="149"/>
      <c r="K84" s="146"/>
      <c r="L84" s="146"/>
    </row>
    <row r="85" spans="1:12" s="253" customFormat="1" x14ac:dyDescent="0.2">
      <c r="A85" s="146"/>
      <c r="B85" s="146"/>
      <c r="C85" s="732"/>
      <c r="D85" s="732"/>
      <c r="E85" s="732"/>
      <c r="F85" s="149"/>
      <c r="G85" s="149"/>
      <c r="H85" s="149"/>
      <c r="I85" s="149"/>
      <c r="J85" s="149"/>
      <c r="K85" s="146"/>
      <c r="L85" s="146"/>
    </row>
    <row r="86" spans="1:12" s="253" customFormat="1" x14ac:dyDescent="0.2">
      <c r="A86" s="146"/>
      <c r="B86" s="146"/>
      <c r="C86" s="732"/>
      <c r="D86" s="732"/>
      <c r="E86" s="732"/>
      <c r="F86" s="149"/>
      <c r="G86" s="149"/>
      <c r="H86" s="149"/>
      <c r="I86" s="149"/>
      <c r="J86" s="149"/>
      <c r="K86" s="146"/>
      <c r="L86" s="146"/>
    </row>
    <row r="87" spans="1:12" s="253" customFormat="1" x14ac:dyDescent="0.2">
      <c r="A87" s="146"/>
      <c r="B87" s="146"/>
      <c r="C87" s="732"/>
      <c r="D87" s="732"/>
      <c r="E87" s="732"/>
      <c r="F87" s="149"/>
      <c r="G87" s="149"/>
      <c r="H87" s="149"/>
      <c r="I87" s="149"/>
      <c r="J87" s="149"/>
      <c r="K87" s="146"/>
      <c r="L87" s="146"/>
    </row>
    <row r="88" spans="1:12" s="253" customFormat="1" x14ac:dyDescent="0.2">
      <c r="A88" s="146"/>
      <c r="B88" s="146"/>
      <c r="C88" s="732"/>
      <c r="D88" s="732"/>
      <c r="E88" s="732"/>
      <c r="F88" s="149"/>
      <c r="G88" s="149"/>
      <c r="H88" s="149"/>
      <c r="I88" s="149"/>
      <c r="J88" s="149"/>
      <c r="K88" s="146"/>
      <c r="L88" s="146"/>
    </row>
    <row r="89" spans="1:12" s="253" customFormat="1" x14ac:dyDescent="0.2">
      <c r="A89" s="146"/>
      <c r="B89" s="146"/>
      <c r="C89" s="732"/>
      <c r="D89" s="732"/>
      <c r="E89" s="732"/>
      <c r="F89" s="149"/>
      <c r="G89" s="149"/>
      <c r="H89" s="149"/>
      <c r="I89" s="149"/>
      <c r="J89" s="149"/>
      <c r="K89" s="146"/>
      <c r="L89" s="146"/>
    </row>
    <row r="90" spans="1:12" s="253" customFormat="1" x14ac:dyDescent="0.2">
      <c r="A90" s="146"/>
      <c r="B90" s="146"/>
      <c r="C90" s="732"/>
      <c r="D90" s="732"/>
      <c r="E90" s="732"/>
      <c r="F90" s="149"/>
      <c r="G90" s="149"/>
      <c r="H90" s="149"/>
      <c r="I90" s="149"/>
      <c r="J90" s="149"/>
      <c r="K90" s="146"/>
      <c r="L90" s="146"/>
    </row>
    <row r="91" spans="1:12" s="253" customFormat="1" x14ac:dyDescent="0.2"/>
    <row r="92" spans="1:12" s="253" customFormat="1" x14ac:dyDescent="0.2"/>
    <row r="93" spans="1:12" s="253" customFormat="1" x14ac:dyDescent="0.2">
      <c r="F93" s="2014"/>
      <c r="G93" s="2014"/>
      <c r="H93" s="2014"/>
      <c r="I93" s="2014"/>
      <c r="J93" s="2014"/>
      <c r="K93" s="2014"/>
      <c r="L93" s="2014"/>
    </row>
    <row r="94" spans="1:12" s="253" customFormat="1" x14ac:dyDescent="0.2">
      <c r="F94" s="2014"/>
      <c r="G94" s="2014"/>
      <c r="H94" s="2014"/>
      <c r="I94" s="2014"/>
      <c r="J94" s="2014"/>
      <c r="K94" s="2014"/>
      <c r="L94" s="2014"/>
    </row>
    <row r="95" spans="1:12" s="253" customFormat="1" x14ac:dyDescent="0.2">
      <c r="F95" s="2014"/>
      <c r="G95" s="2014"/>
      <c r="H95" s="2014"/>
      <c r="I95" s="2014"/>
      <c r="J95" s="2014"/>
      <c r="K95" s="2014"/>
      <c r="L95" s="2014"/>
    </row>
    <row r="96" spans="1:12" s="253" customFormat="1" x14ac:dyDescent="0.2">
      <c r="F96" s="2014"/>
      <c r="G96" s="2014"/>
      <c r="H96" s="2014"/>
      <c r="I96" s="2014"/>
      <c r="J96" s="2014"/>
      <c r="K96" s="2014"/>
      <c r="L96" s="2014"/>
    </row>
    <row r="97" spans="6:12" s="253" customFormat="1" x14ac:dyDescent="0.2">
      <c r="F97" s="2014"/>
      <c r="G97" s="2014"/>
      <c r="H97" s="2014"/>
      <c r="I97" s="2014"/>
      <c r="J97" s="2014"/>
      <c r="K97" s="2014"/>
      <c r="L97" s="2014"/>
    </row>
    <row r="98" spans="6:12" s="253" customFormat="1" x14ac:dyDescent="0.2">
      <c r="F98" s="2014"/>
      <c r="G98" s="2014"/>
      <c r="H98" s="2014"/>
      <c r="I98" s="2014"/>
      <c r="J98" s="2014"/>
      <c r="K98" s="2014"/>
      <c r="L98" s="2014"/>
    </row>
    <row r="99" spans="6:12" s="253" customFormat="1" x14ac:dyDescent="0.2">
      <c r="F99" s="2014"/>
      <c r="G99" s="2014"/>
      <c r="H99" s="2014"/>
      <c r="I99" s="2014"/>
      <c r="J99" s="2014"/>
      <c r="K99" s="2014"/>
      <c r="L99" s="2014"/>
    </row>
    <row r="100" spans="6:12" s="253" customFormat="1" x14ac:dyDescent="0.2">
      <c r="F100" s="2014"/>
      <c r="G100" s="2014"/>
      <c r="H100" s="2014"/>
      <c r="I100" s="2014"/>
      <c r="J100" s="2014"/>
      <c r="K100" s="2014"/>
      <c r="L100" s="2014"/>
    </row>
  </sheetData>
  <mergeCells count="3">
    <mergeCell ref="C11:D11"/>
    <mergeCell ref="H6:J6"/>
    <mergeCell ref="O11:Q11"/>
  </mergeCells>
  <conditionalFormatting sqref="C21:D78 D20">
    <cfRule type="cellIs" dxfId="120" priority="50" operator="equal">
      <formula>0</formula>
    </cfRule>
  </conditionalFormatting>
  <conditionalFormatting sqref="C21:D78 D20">
    <cfRule type="cellIs" dxfId="119" priority="49" operator="greaterThanOrEqual">
      <formula>100</formula>
    </cfRule>
  </conditionalFormatting>
  <conditionalFormatting sqref="F21:J78">
    <cfRule type="cellIs" dxfId="118" priority="47" operator="equal">
      <formula>0</formula>
    </cfRule>
  </conditionalFormatting>
  <conditionalFormatting sqref="K21:L78">
    <cfRule type="cellIs" dxfId="117" priority="12" operator="equal">
      <formula>0</formula>
    </cfRule>
  </conditionalFormatting>
  <conditionalFormatting sqref="D83:D90">
    <cfRule type="cellIs" dxfId="116" priority="11" operator="equal">
      <formula>0</formula>
    </cfRule>
  </conditionalFormatting>
  <conditionalFormatting sqref="D83:D90">
    <cfRule type="cellIs" dxfId="115" priority="10" operator="greaterThanOrEqual">
      <formula>100</formula>
    </cfRule>
  </conditionalFormatting>
  <conditionalFormatting sqref="C83:C90">
    <cfRule type="cellIs" dxfId="114" priority="9" operator="equal">
      <formula>0</formula>
    </cfRule>
  </conditionalFormatting>
  <conditionalFormatting sqref="C83:C90">
    <cfRule type="cellIs" dxfId="113" priority="8" operator="greaterThanOrEqual">
      <formula>100</formula>
    </cfRule>
  </conditionalFormatting>
  <conditionalFormatting sqref="C20">
    <cfRule type="cellIs" dxfId="112" priority="5" operator="equal">
      <formula>0</formula>
    </cfRule>
  </conditionalFormatting>
  <conditionalFormatting sqref="C20">
    <cfRule type="cellIs" dxfId="111" priority="4" operator="greaterThanOrEqual">
      <formula>100</formula>
    </cfRule>
  </conditionalFormatting>
  <conditionalFormatting sqref="O21:O78">
    <cfRule type="cellIs" dxfId="110" priority="3" operator="equal">
      <formula>14</formula>
    </cfRule>
  </conditionalFormatting>
  <conditionalFormatting sqref="P21:P78">
    <cfRule type="cellIs" dxfId="109" priority="2" operator="equal">
      <formula>7</formula>
    </cfRule>
  </conditionalFormatting>
  <conditionalFormatting sqref="Q21:Q78">
    <cfRule type="cellIs" dxfId="108" priority="1" operator="greaterThan">
      <formula>1</formula>
    </cfRule>
  </conditionalFormatting>
  <hyperlinks>
    <hyperlink ref="A6" location="КАФЕДРА!R21C106" display="← на общую страницу"/>
  </hyperlinks>
  <pageMargins left="0.23622047244094491" right="0.23622047244094491" top="0.35433070866141736" bottom="0.15748031496062992" header="0.11811023622047245" footer="0.11811023622047245"/>
  <pageSetup paperSize="9" scale="36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33"/>
  </sheetPr>
  <dimension ref="A1:S311"/>
  <sheetViews>
    <sheetView tabSelected="1" view="pageBreakPreview" topLeftCell="A4" zoomScale="60" zoomScaleNormal="100" workbookViewId="0">
      <pane ySplit="6" topLeftCell="A10" activePane="bottomLeft" state="frozen"/>
      <selection activeCell="A4" sqref="A4"/>
      <selection pane="bottomLeft" activeCell="D318" sqref="D318"/>
    </sheetView>
  </sheetViews>
  <sheetFormatPr defaultColWidth="9.140625" defaultRowHeight="14.25" x14ac:dyDescent="0.2"/>
  <cols>
    <col min="1" max="1" width="77.85546875" style="691" customWidth="1"/>
    <col min="2" max="2" width="14.42578125" style="182" customWidth="1"/>
    <col min="3" max="3" width="24.7109375" style="257" customWidth="1"/>
    <col min="4" max="4" width="142.85546875" style="257" customWidth="1"/>
    <col min="5" max="16384" width="9.140625" style="182"/>
  </cols>
  <sheetData>
    <row r="1" spans="1:19" hidden="1" x14ac:dyDescent="0.2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2085"/>
    </row>
    <row r="2" spans="1:19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2085"/>
    </row>
    <row r="3" spans="1:19" hidden="1" x14ac:dyDescent="0.2">
      <c r="A3" s="182"/>
    </row>
    <row r="4" spans="1:19" ht="39.75" customHeight="1" x14ac:dyDescent="0.2">
      <c r="A4" s="2338" t="s">
        <v>964</v>
      </c>
      <c r="B4" s="2339"/>
      <c r="C4" s="2339"/>
      <c r="D4" s="2339"/>
    </row>
    <row r="5" spans="1:19" ht="17.25" hidden="1" customHeight="1" thickBot="1" x14ac:dyDescent="0.35">
      <c r="A5" s="2093"/>
      <c r="B5" s="2094"/>
      <c r="C5" s="2095"/>
      <c r="D5" s="2095"/>
    </row>
    <row r="6" spans="1:19" ht="13.5" hidden="1" customHeight="1" x14ac:dyDescent="0.3">
      <c r="A6" s="2087"/>
      <c r="B6" s="2088"/>
      <c r="C6" s="2089"/>
      <c r="D6" s="2089"/>
    </row>
    <row r="7" spans="1:19" ht="13.5" hidden="1" customHeight="1" x14ac:dyDescent="0.3">
      <c r="A7" s="2087" t="s">
        <v>532</v>
      </c>
      <c r="B7" s="2088"/>
      <c r="C7" s="2089"/>
      <c r="D7" s="2089">
        <v>3</v>
      </c>
    </row>
    <row r="8" spans="1:19" ht="15.75" hidden="1" customHeight="1" x14ac:dyDescent="0.3">
      <c r="A8" s="2090"/>
      <c r="B8" s="2090"/>
      <c r="C8" s="2086"/>
      <c r="D8" s="2086"/>
    </row>
    <row r="9" spans="1:19" ht="112.5" x14ac:dyDescent="0.2">
      <c r="A9" s="2098" t="str">
        <f>КАФЕДРА!A10</f>
        <v>Наименование кафедры</v>
      </c>
      <c r="B9" s="2125" t="s">
        <v>327</v>
      </c>
      <c r="C9" s="2125" t="s">
        <v>702</v>
      </c>
      <c r="D9" s="2126" t="s">
        <v>965</v>
      </c>
    </row>
    <row r="10" spans="1:19" ht="93.75" x14ac:dyDescent="0.2">
      <c r="A10" s="2096" t="s">
        <v>1162</v>
      </c>
      <c r="B10" s="2114" t="s">
        <v>704</v>
      </c>
      <c r="C10" s="2092" t="s">
        <v>703</v>
      </c>
      <c r="D10" s="2099" t="s">
        <v>908</v>
      </c>
      <c r="E10" s="691"/>
      <c r="F10" s="691"/>
      <c r="S10" s="262"/>
    </row>
    <row r="11" spans="1:19" s="1900" customFormat="1" ht="131.25" x14ac:dyDescent="0.2">
      <c r="A11" s="2096" t="s">
        <v>1162</v>
      </c>
      <c r="B11" s="2114" t="s">
        <v>704</v>
      </c>
      <c r="C11" s="2092" t="s">
        <v>800</v>
      </c>
      <c r="D11" s="2099" t="s">
        <v>1012</v>
      </c>
      <c r="E11" s="691"/>
      <c r="F11" s="691"/>
      <c r="S11" s="262"/>
    </row>
    <row r="12" spans="1:19" s="1900" customFormat="1" ht="37.5" x14ac:dyDescent="0.2">
      <c r="A12" s="2096" t="s">
        <v>1162</v>
      </c>
      <c r="B12" s="2114" t="s">
        <v>704</v>
      </c>
      <c r="C12" s="2092" t="s">
        <v>866</v>
      </c>
      <c r="D12" s="2099" t="s">
        <v>909</v>
      </c>
      <c r="E12" s="691"/>
      <c r="F12" s="691"/>
      <c r="S12" s="262"/>
    </row>
    <row r="13" spans="1:19" s="1900" customFormat="1" ht="37.5" x14ac:dyDescent="0.2">
      <c r="A13" s="2096" t="s">
        <v>1162</v>
      </c>
      <c r="B13" s="2114" t="s">
        <v>704</v>
      </c>
      <c r="C13" s="2092" t="s">
        <v>867</v>
      </c>
      <c r="D13" s="2099" t="s">
        <v>909</v>
      </c>
      <c r="E13" s="691"/>
      <c r="F13" s="691"/>
      <c r="S13" s="262"/>
    </row>
    <row r="14" spans="1:19" s="1900" customFormat="1" ht="56.25" x14ac:dyDescent="0.2">
      <c r="A14" s="2096" t="s">
        <v>1162</v>
      </c>
      <c r="B14" s="2114" t="s">
        <v>704</v>
      </c>
      <c r="C14" s="2092" t="s">
        <v>868</v>
      </c>
      <c r="D14" s="2099" t="s">
        <v>910</v>
      </c>
      <c r="E14" s="691"/>
      <c r="F14" s="691"/>
      <c r="S14" s="262"/>
    </row>
    <row r="15" spans="1:19" s="1900" customFormat="1" ht="37.5" x14ac:dyDescent="0.2">
      <c r="A15" s="2096" t="s">
        <v>1162</v>
      </c>
      <c r="B15" s="2114" t="s">
        <v>704</v>
      </c>
      <c r="C15" s="2092" t="s">
        <v>869</v>
      </c>
      <c r="D15" s="2099" t="s">
        <v>909</v>
      </c>
      <c r="E15" s="691"/>
      <c r="F15" s="691"/>
      <c r="S15" s="262"/>
    </row>
    <row r="16" spans="1:19" s="1900" customFormat="1" ht="37.5" x14ac:dyDescent="0.2">
      <c r="A16" s="2096" t="s">
        <v>1162</v>
      </c>
      <c r="B16" s="2114" t="s">
        <v>704</v>
      </c>
      <c r="C16" s="2092" t="s">
        <v>870</v>
      </c>
      <c r="D16" s="2099" t="s">
        <v>909</v>
      </c>
      <c r="E16" s="691"/>
      <c r="F16" s="691"/>
      <c r="S16" s="262"/>
    </row>
    <row r="17" spans="1:19" s="1900" customFormat="1" ht="37.5" x14ac:dyDescent="0.2">
      <c r="A17" s="2096" t="s">
        <v>1162</v>
      </c>
      <c r="B17" s="2114" t="s">
        <v>704</v>
      </c>
      <c r="C17" s="2092" t="s">
        <v>871</v>
      </c>
      <c r="D17" s="2099" t="s">
        <v>909</v>
      </c>
      <c r="E17" s="691"/>
      <c r="F17" s="691"/>
      <c r="S17" s="262"/>
    </row>
    <row r="18" spans="1:19" s="1900" customFormat="1" ht="37.5" x14ac:dyDescent="0.2">
      <c r="A18" s="2096" t="s">
        <v>1162</v>
      </c>
      <c r="B18" s="2114" t="s">
        <v>704</v>
      </c>
      <c r="C18" s="2092" t="s">
        <v>875</v>
      </c>
      <c r="D18" s="2099" t="s">
        <v>909</v>
      </c>
      <c r="E18" s="691"/>
      <c r="F18" s="691"/>
      <c r="S18" s="262"/>
    </row>
    <row r="19" spans="1:19" s="1900" customFormat="1" ht="37.5" x14ac:dyDescent="0.2">
      <c r="A19" s="2096" t="s">
        <v>1162</v>
      </c>
      <c r="B19" s="2114" t="s">
        <v>704</v>
      </c>
      <c r="C19" s="2092" t="s">
        <v>877</v>
      </c>
      <c r="D19" s="2099" t="s">
        <v>909</v>
      </c>
      <c r="E19" s="691"/>
      <c r="F19" s="691"/>
      <c r="S19" s="262"/>
    </row>
    <row r="20" spans="1:19" s="1900" customFormat="1" ht="93.75" x14ac:dyDescent="0.2">
      <c r="A20" s="2096" t="s">
        <v>1162</v>
      </c>
      <c r="B20" s="2114" t="s">
        <v>704</v>
      </c>
      <c r="C20" s="2092" t="s">
        <v>879</v>
      </c>
      <c r="D20" s="2099" t="s">
        <v>911</v>
      </c>
      <c r="E20" s="691"/>
      <c r="F20" s="691"/>
      <c r="S20" s="262"/>
    </row>
    <row r="21" spans="1:19" s="1900" customFormat="1" ht="37.5" x14ac:dyDescent="0.2">
      <c r="A21" s="2096" t="s">
        <v>1162</v>
      </c>
      <c r="B21" s="2114" t="s">
        <v>704</v>
      </c>
      <c r="C21" s="2107" t="s">
        <v>874</v>
      </c>
      <c r="D21" s="2130" t="s">
        <v>909</v>
      </c>
      <c r="E21" s="691"/>
      <c r="F21" s="691"/>
      <c r="S21" s="262"/>
    </row>
    <row r="22" spans="1:19" s="1900" customFormat="1" ht="37.5" x14ac:dyDescent="0.2">
      <c r="A22" s="2096" t="s">
        <v>98</v>
      </c>
      <c r="B22" s="2114" t="s">
        <v>704</v>
      </c>
      <c r="C22" s="2092" t="s">
        <v>999</v>
      </c>
      <c r="D22" s="2099" t="s">
        <v>1017</v>
      </c>
      <c r="E22" s="691"/>
      <c r="F22" s="691"/>
      <c r="S22" s="262"/>
    </row>
    <row r="23" spans="1:19" s="1900" customFormat="1" ht="37.5" x14ac:dyDescent="0.2">
      <c r="A23" s="2096" t="s">
        <v>98</v>
      </c>
      <c r="B23" s="2114" t="s">
        <v>704</v>
      </c>
      <c r="C23" s="2092" t="s">
        <v>1000</v>
      </c>
      <c r="D23" s="2099" t="s">
        <v>1007</v>
      </c>
      <c r="E23" s="691"/>
      <c r="F23" s="691"/>
      <c r="S23" s="262"/>
    </row>
    <row r="24" spans="1:19" s="1900" customFormat="1" ht="37.5" x14ac:dyDescent="0.2">
      <c r="A24" s="2096" t="s">
        <v>98</v>
      </c>
      <c r="B24" s="2114" t="s">
        <v>704</v>
      </c>
      <c r="C24" s="2092" t="s">
        <v>1001</v>
      </c>
      <c r="D24" s="2099" t="s">
        <v>1007</v>
      </c>
      <c r="E24" s="691"/>
      <c r="F24" s="691"/>
      <c r="S24" s="262"/>
    </row>
    <row r="25" spans="1:19" s="1900" customFormat="1" ht="37.5" x14ac:dyDescent="0.2">
      <c r="A25" s="2096" t="s">
        <v>98</v>
      </c>
      <c r="B25" s="2114" t="s">
        <v>704</v>
      </c>
      <c r="C25" s="2092" t="s">
        <v>1002</v>
      </c>
      <c r="D25" s="2099" t="s">
        <v>1007</v>
      </c>
      <c r="E25" s="691"/>
      <c r="F25" s="691"/>
      <c r="S25" s="262"/>
    </row>
    <row r="26" spans="1:19" s="1900" customFormat="1" ht="37.5" x14ac:dyDescent="0.2">
      <c r="A26" s="2096" t="s">
        <v>98</v>
      </c>
      <c r="B26" s="2114" t="s">
        <v>704</v>
      </c>
      <c r="C26" s="2092" t="s">
        <v>1003</v>
      </c>
      <c r="D26" s="2099" t="s">
        <v>1007</v>
      </c>
      <c r="E26" s="691"/>
      <c r="F26" s="691"/>
      <c r="S26" s="262"/>
    </row>
    <row r="27" spans="1:19" s="1900" customFormat="1" ht="37.5" x14ac:dyDescent="0.2">
      <c r="A27" s="2096" t="s">
        <v>98</v>
      </c>
      <c r="B27" s="2114" t="s">
        <v>704</v>
      </c>
      <c r="C27" s="2107" t="s">
        <v>1174</v>
      </c>
      <c r="D27" s="2099" t="s">
        <v>1007</v>
      </c>
      <c r="E27" s="691"/>
      <c r="F27" s="691"/>
      <c r="S27" s="262"/>
    </row>
    <row r="28" spans="1:19" s="1900" customFormat="1" ht="37.5" x14ac:dyDescent="0.2">
      <c r="A28" s="2096" t="s">
        <v>98</v>
      </c>
      <c r="B28" s="2114" t="s">
        <v>704</v>
      </c>
      <c r="C28" s="2092" t="s">
        <v>1004</v>
      </c>
      <c r="D28" s="2099" t="s">
        <v>1007</v>
      </c>
      <c r="E28" s="691"/>
      <c r="F28" s="691"/>
      <c r="S28" s="262"/>
    </row>
    <row r="29" spans="1:19" s="1900" customFormat="1" ht="37.5" x14ac:dyDescent="0.2">
      <c r="A29" s="2096" t="s">
        <v>98</v>
      </c>
      <c r="B29" s="2114" t="s">
        <v>704</v>
      </c>
      <c r="C29" s="2092" t="s">
        <v>1005</v>
      </c>
      <c r="D29" s="2099" t="s">
        <v>1007</v>
      </c>
      <c r="E29" s="691"/>
      <c r="F29" s="691"/>
      <c r="S29" s="262"/>
    </row>
    <row r="30" spans="1:19" s="1900" customFormat="1" ht="37.5" x14ac:dyDescent="0.2">
      <c r="A30" s="2096" t="s">
        <v>98</v>
      </c>
      <c r="B30" s="2114" t="s">
        <v>704</v>
      </c>
      <c r="C30" s="2107" t="s">
        <v>1175</v>
      </c>
      <c r="D30" s="2130" t="s">
        <v>1007</v>
      </c>
      <c r="E30" s="691"/>
      <c r="F30" s="691"/>
      <c r="S30" s="262"/>
    </row>
    <row r="31" spans="1:19" s="1900" customFormat="1" ht="37.5" x14ac:dyDescent="0.2">
      <c r="A31" s="2096" t="s">
        <v>98</v>
      </c>
      <c r="B31" s="2114" t="s">
        <v>704</v>
      </c>
      <c r="C31" s="2092" t="s">
        <v>1006</v>
      </c>
      <c r="D31" s="2099" t="s">
        <v>1007</v>
      </c>
      <c r="E31" s="691"/>
      <c r="F31" s="691"/>
      <c r="S31" s="262"/>
    </row>
    <row r="32" spans="1:19" s="1900" customFormat="1" ht="75" x14ac:dyDescent="0.2">
      <c r="A32" s="2143" t="s">
        <v>507</v>
      </c>
      <c r="B32" s="2144" t="s">
        <v>704</v>
      </c>
      <c r="C32" s="2145" t="s">
        <v>783</v>
      </c>
      <c r="D32" s="2146" t="s">
        <v>1125</v>
      </c>
      <c r="E32" s="691"/>
      <c r="F32" s="691"/>
      <c r="S32" s="262"/>
    </row>
    <row r="33" spans="1:19" s="1900" customFormat="1" ht="56.25" x14ac:dyDescent="0.2">
      <c r="A33" s="2143" t="s">
        <v>507</v>
      </c>
      <c r="B33" s="2144" t="s">
        <v>704</v>
      </c>
      <c r="C33" s="2145" t="s">
        <v>784</v>
      </c>
      <c r="D33" s="2146" t="s">
        <v>1126</v>
      </c>
      <c r="E33" s="691"/>
      <c r="F33" s="691"/>
      <c r="S33" s="262"/>
    </row>
    <row r="34" spans="1:19" s="1900" customFormat="1" ht="37.5" x14ac:dyDescent="0.2">
      <c r="A34" s="2143" t="s">
        <v>507</v>
      </c>
      <c r="B34" s="2144" t="s">
        <v>704</v>
      </c>
      <c r="C34" s="2145" t="s">
        <v>785</v>
      </c>
      <c r="D34" s="2146" t="s">
        <v>1127</v>
      </c>
      <c r="E34" s="691"/>
      <c r="F34" s="691"/>
      <c r="S34" s="262"/>
    </row>
    <row r="35" spans="1:19" s="1900" customFormat="1" ht="75" x14ac:dyDescent="0.2">
      <c r="A35" s="2143" t="s">
        <v>507</v>
      </c>
      <c r="B35" s="2144" t="s">
        <v>704</v>
      </c>
      <c r="C35" s="2145" t="s">
        <v>786</v>
      </c>
      <c r="D35" s="2146" t="s">
        <v>1128</v>
      </c>
      <c r="E35" s="691"/>
      <c r="F35" s="691"/>
      <c r="S35" s="262"/>
    </row>
    <row r="36" spans="1:19" s="1900" customFormat="1" ht="37.5" x14ac:dyDescent="0.2">
      <c r="A36" s="2143" t="s">
        <v>507</v>
      </c>
      <c r="B36" s="2144" t="s">
        <v>704</v>
      </c>
      <c r="C36" s="2145" t="s">
        <v>1129</v>
      </c>
      <c r="D36" s="2146" t="s">
        <v>1130</v>
      </c>
      <c r="E36" s="691"/>
      <c r="F36" s="691"/>
      <c r="S36" s="262"/>
    </row>
    <row r="37" spans="1:19" s="1900" customFormat="1" ht="18.75" x14ac:dyDescent="0.2">
      <c r="A37" s="2143" t="s">
        <v>507</v>
      </c>
      <c r="B37" s="2144" t="s">
        <v>704</v>
      </c>
      <c r="C37" s="2145" t="s">
        <v>1131</v>
      </c>
      <c r="D37" s="2147" t="s">
        <v>1132</v>
      </c>
      <c r="E37" s="691"/>
      <c r="F37" s="691"/>
      <c r="S37" s="262"/>
    </row>
    <row r="38" spans="1:19" s="1900" customFormat="1" ht="18.75" x14ac:dyDescent="0.2">
      <c r="A38" s="2143" t="s">
        <v>507</v>
      </c>
      <c r="B38" s="2144" t="s">
        <v>704</v>
      </c>
      <c r="C38" s="2145" t="s">
        <v>1133</v>
      </c>
      <c r="D38" s="2147" t="s">
        <v>1132</v>
      </c>
      <c r="E38" s="691"/>
      <c r="F38" s="691"/>
      <c r="S38" s="262"/>
    </row>
    <row r="39" spans="1:19" s="1900" customFormat="1" ht="18.75" x14ac:dyDescent="0.2">
      <c r="A39" s="2143" t="s">
        <v>507</v>
      </c>
      <c r="B39" s="2144" t="s">
        <v>704</v>
      </c>
      <c r="C39" s="2145" t="s">
        <v>1134</v>
      </c>
      <c r="D39" s="2147" t="s">
        <v>1132</v>
      </c>
      <c r="E39" s="691"/>
      <c r="F39" s="691"/>
      <c r="S39" s="262"/>
    </row>
    <row r="40" spans="1:19" ht="18.75" x14ac:dyDescent="0.2">
      <c r="A40" s="2143" t="s">
        <v>507</v>
      </c>
      <c r="B40" s="2144" t="s">
        <v>704</v>
      </c>
      <c r="C40" s="2145" t="s">
        <v>1135</v>
      </c>
      <c r="D40" s="2147" t="s">
        <v>1132</v>
      </c>
    </row>
    <row r="41" spans="1:19" s="1900" customFormat="1" ht="18.75" x14ac:dyDescent="0.2">
      <c r="A41" s="2143" t="s">
        <v>507</v>
      </c>
      <c r="B41" s="2144" t="s">
        <v>704</v>
      </c>
      <c r="C41" s="2145" t="s">
        <v>1136</v>
      </c>
      <c r="D41" s="2147" t="s">
        <v>1132</v>
      </c>
    </row>
    <row r="42" spans="1:19" s="1900" customFormat="1" ht="18.75" x14ac:dyDescent="0.3">
      <c r="A42" s="2096" t="s">
        <v>1200</v>
      </c>
      <c r="B42" s="2114" t="s">
        <v>704</v>
      </c>
      <c r="C42" s="2116" t="s">
        <v>737</v>
      </c>
      <c r="D42" s="2113" t="s">
        <v>1063</v>
      </c>
    </row>
    <row r="43" spans="1:19" s="1900" customFormat="1" ht="18.75" x14ac:dyDescent="0.3">
      <c r="A43" s="2096" t="s">
        <v>1200</v>
      </c>
      <c r="B43" s="2114" t="s">
        <v>704</v>
      </c>
      <c r="C43" s="2116" t="s">
        <v>1064</v>
      </c>
      <c r="D43" s="2113" t="s">
        <v>1065</v>
      </c>
    </row>
    <row r="44" spans="1:19" s="1900" customFormat="1" ht="18.75" x14ac:dyDescent="0.3">
      <c r="A44" s="2096" t="s">
        <v>1200</v>
      </c>
      <c r="B44" s="2114" t="s">
        <v>704</v>
      </c>
      <c r="C44" s="2116" t="s">
        <v>1066</v>
      </c>
      <c r="D44" s="2113" t="s">
        <v>1065</v>
      </c>
    </row>
    <row r="45" spans="1:19" s="1900" customFormat="1" ht="37.5" x14ac:dyDescent="0.3">
      <c r="A45" s="2096" t="s">
        <v>1200</v>
      </c>
      <c r="B45" s="2114" t="s">
        <v>704</v>
      </c>
      <c r="C45" s="2116" t="s">
        <v>1067</v>
      </c>
      <c r="D45" s="2115" t="s">
        <v>1068</v>
      </c>
    </row>
    <row r="46" spans="1:19" s="1900" customFormat="1" ht="18.75" x14ac:dyDescent="0.3">
      <c r="A46" s="2096" t="s">
        <v>1200</v>
      </c>
      <c r="B46" s="2114" t="s">
        <v>704</v>
      </c>
      <c r="C46" s="2116" t="s">
        <v>1069</v>
      </c>
      <c r="D46" s="2113" t="s">
        <v>1065</v>
      </c>
    </row>
    <row r="47" spans="1:19" s="1900" customFormat="1" ht="18.75" x14ac:dyDescent="0.3">
      <c r="A47" s="2096" t="s">
        <v>1163</v>
      </c>
      <c r="B47" s="2114" t="s">
        <v>704</v>
      </c>
      <c r="C47" s="2113" t="s">
        <v>1070</v>
      </c>
      <c r="D47" s="2113" t="s">
        <v>1065</v>
      </c>
    </row>
    <row r="48" spans="1:19" s="1900" customFormat="1" ht="18.75" x14ac:dyDescent="0.3">
      <c r="A48" s="2096" t="s">
        <v>1163</v>
      </c>
      <c r="B48" s="2114" t="s">
        <v>704</v>
      </c>
      <c r="C48" s="2113" t="s">
        <v>1164</v>
      </c>
      <c r="D48" s="2113" t="s">
        <v>1165</v>
      </c>
    </row>
    <row r="49" spans="1:4" s="1900" customFormat="1" ht="18.75" x14ac:dyDescent="0.3">
      <c r="A49" s="2096" t="s">
        <v>1200</v>
      </c>
      <c r="B49" s="2114" t="s">
        <v>704</v>
      </c>
      <c r="C49" s="2116" t="s">
        <v>1071</v>
      </c>
      <c r="D49" s="2113" t="s">
        <v>1065</v>
      </c>
    </row>
    <row r="50" spans="1:4" ht="18.75" x14ac:dyDescent="0.3">
      <c r="A50" s="2096" t="s">
        <v>1163</v>
      </c>
      <c r="B50" s="2114" t="s">
        <v>704</v>
      </c>
      <c r="C50" s="2116" t="s">
        <v>1072</v>
      </c>
      <c r="D50" s="2113" t="s">
        <v>1073</v>
      </c>
    </row>
    <row r="51" spans="1:4" s="1900" customFormat="1" ht="18.75" x14ac:dyDescent="0.3">
      <c r="A51" s="2096" t="s">
        <v>1200</v>
      </c>
      <c r="B51" s="2114" t="s">
        <v>704</v>
      </c>
      <c r="C51" s="2116" t="s">
        <v>1074</v>
      </c>
      <c r="D51" s="2116" t="s">
        <v>1075</v>
      </c>
    </row>
    <row r="52" spans="1:4" s="1900" customFormat="1" ht="37.5" x14ac:dyDescent="0.2">
      <c r="A52" s="2096" t="s">
        <v>373</v>
      </c>
      <c r="B52" s="2114" t="s">
        <v>704</v>
      </c>
      <c r="C52" s="2092" t="s">
        <v>803</v>
      </c>
      <c r="D52" s="2099" t="s">
        <v>837</v>
      </c>
    </row>
    <row r="53" spans="1:4" s="1900" customFormat="1" ht="112.5" x14ac:dyDescent="0.2">
      <c r="A53" s="2096" t="s">
        <v>330</v>
      </c>
      <c r="B53" s="2114" t="s">
        <v>704</v>
      </c>
      <c r="C53" s="2092" t="s">
        <v>896</v>
      </c>
      <c r="D53" s="2099" t="s">
        <v>1176</v>
      </c>
    </row>
    <row r="54" spans="1:4" s="1900" customFormat="1" ht="37.5" x14ac:dyDescent="0.2">
      <c r="A54" s="2096" t="s">
        <v>330</v>
      </c>
      <c r="B54" s="2114" t="s">
        <v>704</v>
      </c>
      <c r="C54" s="2092" t="s">
        <v>897</v>
      </c>
      <c r="D54" s="2099" t="s">
        <v>912</v>
      </c>
    </row>
    <row r="55" spans="1:4" s="1900" customFormat="1" ht="37.5" x14ac:dyDescent="0.2">
      <c r="A55" s="2096" t="s">
        <v>330</v>
      </c>
      <c r="B55" s="2114" t="s">
        <v>704</v>
      </c>
      <c r="C55" s="2092" t="s">
        <v>898</v>
      </c>
      <c r="D55" s="2099" t="s">
        <v>913</v>
      </c>
    </row>
    <row r="56" spans="1:4" s="1900" customFormat="1" ht="37.5" x14ac:dyDescent="0.2">
      <c r="A56" s="2096" t="s">
        <v>330</v>
      </c>
      <c r="B56" s="2114" t="s">
        <v>704</v>
      </c>
      <c r="C56" s="2154" t="s">
        <v>899</v>
      </c>
      <c r="D56" s="2099" t="s">
        <v>914</v>
      </c>
    </row>
    <row r="57" spans="1:4" s="1900" customFormat="1" ht="18.75" x14ac:dyDescent="0.2">
      <c r="A57" s="2096" t="s">
        <v>330</v>
      </c>
      <c r="B57" s="2114" t="s">
        <v>704</v>
      </c>
      <c r="C57" s="2092" t="s">
        <v>900</v>
      </c>
      <c r="D57" s="2099" t="s">
        <v>915</v>
      </c>
    </row>
    <row r="58" spans="1:4" s="1900" customFormat="1" ht="56.25" x14ac:dyDescent="0.2">
      <c r="A58" s="2096" t="s">
        <v>330</v>
      </c>
      <c r="B58" s="2114" t="s">
        <v>704</v>
      </c>
      <c r="C58" s="2092" t="s">
        <v>901</v>
      </c>
      <c r="D58" s="2099" t="s">
        <v>972</v>
      </c>
    </row>
    <row r="59" spans="1:4" s="1900" customFormat="1" ht="168.75" x14ac:dyDescent="0.2">
      <c r="A59" s="2112" t="s">
        <v>107</v>
      </c>
      <c r="B59" s="2127" t="s">
        <v>704</v>
      </c>
      <c r="C59" s="2128" t="s">
        <v>813</v>
      </c>
      <c r="D59" s="2129" t="s">
        <v>1048</v>
      </c>
    </row>
    <row r="60" spans="1:4" ht="37.5" x14ac:dyDescent="0.2">
      <c r="A60" s="2112" t="s">
        <v>107</v>
      </c>
      <c r="B60" s="2127" t="s">
        <v>704</v>
      </c>
      <c r="C60" s="2128" t="s">
        <v>816</v>
      </c>
      <c r="D60" s="2130" t="s">
        <v>1049</v>
      </c>
    </row>
    <row r="61" spans="1:4" s="1900" customFormat="1" ht="37.5" x14ac:dyDescent="0.2">
      <c r="A61" s="2112" t="s">
        <v>107</v>
      </c>
      <c r="B61" s="2127" t="s">
        <v>704</v>
      </c>
      <c r="C61" s="2128" t="s">
        <v>815</v>
      </c>
      <c r="D61" s="2130" t="s">
        <v>1050</v>
      </c>
    </row>
    <row r="62" spans="1:4" s="1900" customFormat="1" ht="93.75" x14ac:dyDescent="0.2">
      <c r="A62" s="2112" t="s">
        <v>107</v>
      </c>
      <c r="B62" s="2127" t="s">
        <v>704</v>
      </c>
      <c r="C62" s="2128" t="s">
        <v>814</v>
      </c>
      <c r="D62" s="2130" t="s">
        <v>1051</v>
      </c>
    </row>
    <row r="63" spans="1:4" s="1900" customFormat="1" ht="75" x14ac:dyDescent="0.2">
      <c r="A63" s="2096" t="s">
        <v>95</v>
      </c>
      <c r="B63" s="2114" t="s">
        <v>704</v>
      </c>
      <c r="C63" s="2092" t="s">
        <v>728</v>
      </c>
      <c r="D63" s="2099" t="s">
        <v>838</v>
      </c>
    </row>
    <row r="64" spans="1:4" s="1900" customFormat="1" ht="37.5" x14ac:dyDescent="0.2">
      <c r="A64" s="2096" t="s">
        <v>95</v>
      </c>
      <c r="B64" s="2114" t="s">
        <v>704</v>
      </c>
      <c r="C64" s="2092" t="s">
        <v>718</v>
      </c>
      <c r="D64" s="2099" t="s">
        <v>840</v>
      </c>
    </row>
    <row r="65" spans="1:4" s="1900" customFormat="1" ht="37.5" x14ac:dyDescent="0.2">
      <c r="A65" s="2096" t="s">
        <v>95</v>
      </c>
      <c r="B65" s="2114" t="s">
        <v>704</v>
      </c>
      <c r="C65" s="2092" t="s">
        <v>717</v>
      </c>
      <c r="D65" s="2099" t="s">
        <v>840</v>
      </c>
    </row>
    <row r="66" spans="1:4" ht="37.5" x14ac:dyDescent="0.2">
      <c r="A66" s="2096" t="s">
        <v>95</v>
      </c>
      <c r="B66" s="2114" t="s">
        <v>704</v>
      </c>
      <c r="C66" s="2092" t="s">
        <v>720</v>
      </c>
      <c r="D66" s="2099" t="s">
        <v>841</v>
      </c>
    </row>
    <row r="67" spans="1:4" ht="37.5" x14ac:dyDescent="0.2">
      <c r="A67" s="2096" t="s">
        <v>95</v>
      </c>
      <c r="B67" s="2114" t="s">
        <v>704</v>
      </c>
      <c r="C67" s="2092" t="s">
        <v>721</v>
      </c>
      <c r="D67" s="2099" t="s">
        <v>841</v>
      </c>
    </row>
    <row r="68" spans="1:4" s="1900" customFormat="1" ht="37.5" x14ac:dyDescent="0.2">
      <c r="A68" s="2096" t="s">
        <v>95</v>
      </c>
      <c r="B68" s="2114" t="s">
        <v>704</v>
      </c>
      <c r="C68" s="2092" t="s">
        <v>723</v>
      </c>
      <c r="D68" s="2099" t="s">
        <v>841</v>
      </c>
    </row>
    <row r="69" spans="1:4" s="1900" customFormat="1" ht="37.5" x14ac:dyDescent="0.2">
      <c r="A69" s="2096" t="s">
        <v>95</v>
      </c>
      <c r="B69" s="2114" t="s">
        <v>704</v>
      </c>
      <c r="C69" s="2092" t="s">
        <v>724</v>
      </c>
      <c r="D69" s="2099" t="s">
        <v>841</v>
      </c>
    </row>
    <row r="70" spans="1:4" s="1900" customFormat="1" ht="37.5" x14ac:dyDescent="0.2">
      <c r="A70" s="2096" t="s">
        <v>95</v>
      </c>
      <c r="B70" s="2114" t="s">
        <v>704</v>
      </c>
      <c r="C70" s="2092" t="s">
        <v>725</v>
      </c>
      <c r="D70" s="2099" t="s">
        <v>841</v>
      </c>
    </row>
    <row r="71" spans="1:4" ht="37.5" x14ac:dyDescent="0.2">
      <c r="A71" s="2096" t="s">
        <v>95</v>
      </c>
      <c r="B71" s="2114" t="s">
        <v>704</v>
      </c>
      <c r="C71" s="2092" t="s">
        <v>726</v>
      </c>
      <c r="D71" s="2099" t="s">
        <v>841</v>
      </c>
    </row>
    <row r="72" spans="1:4" s="1900" customFormat="1" ht="187.5" x14ac:dyDescent="0.2">
      <c r="A72" s="2096" t="s">
        <v>413</v>
      </c>
      <c r="B72" s="2114" t="s">
        <v>704</v>
      </c>
      <c r="C72" s="2092" t="s">
        <v>794</v>
      </c>
      <c r="D72" s="2099" t="s">
        <v>1076</v>
      </c>
    </row>
    <row r="73" spans="1:4" s="1900" customFormat="1" ht="37.5" x14ac:dyDescent="0.2">
      <c r="A73" s="2096" t="s">
        <v>413</v>
      </c>
      <c r="B73" s="2114" t="s">
        <v>704</v>
      </c>
      <c r="C73" s="2092" t="s">
        <v>1167</v>
      </c>
      <c r="D73" s="2099" t="s">
        <v>1168</v>
      </c>
    </row>
    <row r="74" spans="1:4" s="1900" customFormat="1" ht="37.5" x14ac:dyDescent="0.2">
      <c r="A74" s="2096" t="s">
        <v>413</v>
      </c>
      <c r="B74" s="2114" t="s">
        <v>704</v>
      </c>
      <c r="C74" s="2092" t="s">
        <v>1169</v>
      </c>
      <c r="D74" s="2099" t="s">
        <v>1168</v>
      </c>
    </row>
    <row r="75" spans="1:4" s="1900" customFormat="1" ht="37.5" x14ac:dyDescent="0.2">
      <c r="A75" s="2096" t="s">
        <v>413</v>
      </c>
      <c r="B75" s="2114" t="s">
        <v>704</v>
      </c>
      <c r="C75" s="2092" t="s">
        <v>1170</v>
      </c>
      <c r="D75" s="2099" t="s">
        <v>1168</v>
      </c>
    </row>
    <row r="76" spans="1:4" s="1900" customFormat="1" ht="37.5" x14ac:dyDescent="0.2">
      <c r="A76" s="2096" t="s">
        <v>413</v>
      </c>
      <c r="B76" s="2114" t="s">
        <v>704</v>
      </c>
      <c r="C76" s="2092" t="s">
        <v>1171</v>
      </c>
      <c r="D76" s="2099" t="s">
        <v>1168</v>
      </c>
    </row>
    <row r="77" spans="1:4" s="1900" customFormat="1" ht="281.25" x14ac:dyDescent="0.2">
      <c r="A77" s="2096" t="s">
        <v>375</v>
      </c>
      <c r="B77" s="2114" t="s">
        <v>704</v>
      </c>
      <c r="C77" s="2092" t="s">
        <v>798</v>
      </c>
      <c r="D77" s="2099" t="s">
        <v>1013</v>
      </c>
    </row>
    <row r="78" spans="1:4" s="1900" customFormat="1" ht="18.75" x14ac:dyDescent="0.2">
      <c r="A78" s="2096" t="s">
        <v>375</v>
      </c>
      <c r="B78" s="2114" t="s">
        <v>704</v>
      </c>
      <c r="C78" s="2092" t="s">
        <v>799</v>
      </c>
      <c r="D78" s="2099" t="s">
        <v>842</v>
      </c>
    </row>
    <row r="79" spans="1:4" s="1900" customFormat="1" ht="56.25" x14ac:dyDescent="0.2">
      <c r="A79" s="2096" t="s">
        <v>96</v>
      </c>
      <c r="B79" s="2114" t="s">
        <v>704</v>
      </c>
      <c r="C79" s="2123" t="s">
        <v>829</v>
      </c>
      <c r="D79" s="2124" t="s">
        <v>1105</v>
      </c>
    </row>
    <row r="80" spans="1:4" ht="37.5" x14ac:dyDescent="0.2">
      <c r="A80" s="2096" t="s">
        <v>96</v>
      </c>
      <c r="B80" s="2114" t="s">
        <v>704</v>
      </c>
      <c r="C80" s="2123" t="s">
        <v>1106</v>
      </c>
      <c r="D80" s="2124" t="s">
        <v>1107</v>
      </c>
    </row>
    <row r="81" spans="1:4" s="1900" customFormat="1" ht="37.5" x14ac:dyDescent="0.2">
      <c r="A81" s="2096" t="s">
        <v>96</v>
      </c>
      <c r="B81" s="2114" t="s">
        <v>704</v>
      </c>
      <c r="C81" s="2123" t="s">
        <v>1108</v>
      </c>
      <c r="D81" s="2124" t="s">
        <v>1107</v>
      </c>
    </row>
    <row r="82" spans="1:4" s="1900" customFormat="1" ht="93.75" x14ac:dyDescent="0.2">
      <c r="A82" s="2096" t="s">
        <v>96</v>
      </c>
      <c r="B82" s="2114" t="s">
        <v>704</v>
      </c>
      <c r="C82" s="2123" t="s">
        <v>1109</v>
      </c>
      <c r="D82" s="2124" t="s">
        <v>1110</v>
      </c>
    </row>
    <row r="83" spans="1:4" s="1900" customFormat="1" ht="56.25" x14ac:dyDescent="0.2">
      <c r="A83" s="2096" t="s">
        <v>96</v>
      </c>
      <c r="B83" s="2114" t="s">
        <v>704</v>
      </c>
      <c r="C83" s="2123" t="s">
        <v>1111</v>
      </c>
      <c r="D83" s="2124" t="s">
        <v>1112</v>
      </c>
    </row>
    <row r="84" spans="1:4" s="1900" customFormat="1" ht="37.5" x14ac:dyDescent="0.2">
      <c r="A84" s="2096" t="s">
        <v>96</v>
      </c>
      <c r="B84" s="2114" t="s">
        <v>704</v>
      </c>
      <c r="C84" s="2123" t="s">
        <v>1113</v>
      </c>
      <c r="D84" s="2124" t="s">
        <v>1107</v>
      </c>
    </row>
    <row r="85" spans="1:4" ht="37.5" x14ac:dyDescent="0.2">
      <c r="A85" s="2096" t="s">
        <v>96</v>
      </c>
      <c r="B85" s="2114" t="s">
        <v>704</v>
      </c>
      <c r="C85" s="2123" t="s">
        <v>1114</v>
      </c>
      <c r="D85" s="2124" t="s">
        <v>1107</v>
      </c>
    </row>
    <row r="86" spans="1:4" s="1900" customFormat="1" ht="37.5" x14ac:dyDescent="0.2">
      <c r="A86" s="2096" t="s">
        <v>94</v>
      </c>
      <c r="B86" s="2114" t="s">
        <v>704</v>
      </c>
      <c r="C86" s="2092" t="s">
        <v>804</v>
      </c>
      <c r="D86" s="2099" t="s">
        <v>934</v>
      </c>
    </row>
    <row r="87" spans="1:4" ht="37.5" x14ac:dyDescent="0.2">
      <c r="A87" s="2096" t="s">
        <v>94</v>
      </c>
      <c r="B87" s="2114" t="s">
        <v>704</v>
      </c>
      <c r="C87" s="2092" t="s">
        <v>805</v>
      </c>
      <c r="D87" s="2099" t="s">
        <v>933</v>
      </c>
    </row>
    <row r="88" spans="1:4" s="1900" customFormat="1" ht="56.25" x14ac:dyDescent="0.2">
      <c r="A88" s="2096" t="s">
        <v>94</v>
      </c>
      <c r="B88" s="2114" t="s">
        <v>704</v>
      </c>
      <c r="C88" s="2092" t="s">
        <v>887</v>
      </c>
      <c r="D88" s="2099" t="s">
        <v>916</v>
      </c>
    </row>
    <row r="89" spans="1:4" s="1900" customFormat="1" ht="56.25" x14ac:dyDescent="0.2">
      <c r="A89" s="2109" t="s">
        <v>926</v>
      </c>
      <c r="B89" s="2114" t="s">
        <v>704</v>
      </c>
      <c r="C89" s="2110" t="s">
        <v>719</v>
      </c>
      <c r="D89" s="2111" t="s">
        <v>1156</v>
      </c>
    </row>
    <row r="90" spans="1:4" s="1900" customFormat="1" ht="37.5" x14ac:dyDescent="0.2">
      <c r="A90" s="2109" t="s">
        <v>926</v>
      </c>
      <c r="B90" s="2114" t="s">
        <v>704</v>
      </c>
      <c r="C90" s="2110" t="s">
        <v>1037</v>
      </c>
      <c r="D90" s="2111" t="s">
        <v>839</v>
      </c>
    </row>
    <row r="91" spans="1:4" s="1900" customFormat="1" ht="168.75" x14ac:dyDescent="0.2">
      <c r="A91" s="2109" t="s">
        <v>926</v>
      </c>
      <c r="B91" s="2114" t="s">
        <v>704</v>
      </c>
      <c r="C91" s="2110" t="s">
        <v>1038</v>
      </c>
      <c r="D91" s="2111" t="s">
        <v>1157</v>
      </c>
    </row>
    <row r="92" spans="1:4" s="1900" customFormat="1" ht="93.75" x14ac:dyDescent="0.2">
      <c r="A92" s="2109" t="s">
        <v>926</v>
      </c>
      <c r="B92" s="2114" t="s">
        <v>704</v>
      </c>
      <c r="C92" s="2110" t="s">
        <v>727</v>
      </c>
      <c r="D92" s="2111" t="s">
        <v>1122</v>
      </c>
    </row>
    <row r="93" spans="1:4" s="1900" customFormat="1" ht="37.5" x14ac:dyDescent="0.2">
      <c r="A93" s="2109" t="s">
        <v>926</v>
      </c>
      <c r="B93" s="2114" t="s">
        <v>704</v>
      </c>
      <c r="C93" s="2110" t="s">
        <v>722</v>
      </c>
      <c r="D93" s="2111" t="s">
        <v>841</v>
      </c>
    </row>
    <row r="94" spans="1:4" ht="56.25" x14ac:dyDescent="0.2">
      <c r="A94" s="2109" t="s">
        <v>926</v>
      </c>
      <c r="B94" s="2114" t="s">
        <v>704</v>
      </c>
      <c r="C94" s="2110" t="s">
        <v>1039</v>
      </c>
      <c r="D94" s="2111" t="s">
        <v>1040</v>
      </c>
    </row>
    <row r="95" spans="1:4" s="1900" customFormat="1" ht="56.25" x14ac:dyDescent="0.2">
      <c r="A95" s="2109" t="s">
        <v>926</v>
      </c>
      <c r="B95" s="2114" t="s">
        <v>704</v>
      </c>
      <c r="C95" s="2110" t="s">
        <v>1041</v>
      </c>
      <c r="D95" s="2111" t="s">
        <v>1042</v>
      </c>
    </row>
    <row r="96" spans="1:4" s="1900" customFormat="1" ht="75" x14ac:dyDescent="0.2">
      <c r="A96" s="2109" t="s">
        <v>926</v>
      </c>
      <c r="B96" s="2114" t="s">
        <v>704</v>
      </c>
      <c r="C96" s="2110" t="s">
        <v>720</v>
      </c>
      <c r="D96" s="2111" t="s">
        <v>1043</v>
      </c>
    </row>
    <row r="97" spans="1:4" ht="37.5" x14ac:dyDescent="0.2">
      <c r="A97" s="2109" t="s">
        <v>926</v>
      </c>
      <c r="B97" s="2114" t="s">
        <v>704</v>
      </c>
      <c r="C97" s="2110" t="s">
        <v>721</v>
      </c>
      <c r="D97" s="2149" t="s">
        <v>841</v>
      </c>
    </row>
    <row r="98" spans="1:4" s="1900" customFormat="1" ht="37.5" x14ac:dyDescent="0.2">
      <c r="A98" s="2109" t="s">
        <v>926</v>
      </c>
      <c r="B98" s="2114" t="s">
        <v>704</v>
      </c>
      <c r="C98" s="2110" t="s">
        <v>723</v>
      </c>
      <c r="D98" s="2149" t="s">
        <v>1123</v>
      </c>
    </row>
    <row r="99" spans="1:4" s="1900" customFormat="1" ht="37.5" x14ac:dyDescent="0.2">
      <c r="A99" s="2109" t="s">
        <v>926</v>
      </c>
      <c r="B99" s="2114" t="s">
        <v>704</v>
      </c>
      <c r="C99" s="2110" t="s">
        <v>1044</v>
      </c>
      <c r="D99" s="2159" t="s">
        <v>1186</v>
      </c>
    </row>
    <row r="100" spans="1:4" s="1900" customFormat="1" ht="37.5" x14ac:dyDescent="0.2">
      <c r="A100" s="2109" t="s">
        <v>926</v>
      </c>
      <c r="B100" s="2114" t="s">
        <v>704</v>
      </c>
      <c r="C100" s="2110" t="s">
        <v>1045</v>
      </c>
      <c r="D100" s="2159" t="s">
        <v>1187</v>
      </c>
    </row>
    <row r="101" spans="1:4" s="1900" customFormat="1" ht="37.5" x14ac:dyDescent="0.2">
      <c r="A101" s="2109" t="s">
        <v>926</v>
      </c>
      <c r="B101" s="2114" t="s">
        <v>704</v>
      </c>
      <c r="C101" s="2155" t="s">
        <v>1189</v>
      </c>
      <c r="D101" s="2159" t="s">
        <v>1188</v>
      </c>
    </row>
    <row r="102" spans="1:4" s="1900" customFormat="1" ht="37.5" x14ac:dyDescent="0.2">
      <c r="A102" s="2109" t="s">
        <v>926</v>
      </c>
      <c r="B102" s="2114" t="s">
        <v>704</v>
      </c>
      <c r="C102" s="2110" t="s">
        <v>1047</v>
      </c>
      <c r="D102" s="2111" t="s">
        <v>1046</v>
      </c>
    </row>
    <row r="103" spans="1:4" s="1900" customFormat="1" ht="93.75" x14ac:dyDescent="0.2">
      <c r="A103" s="2096" t="s">
        <v>411</v>
      </c>
      <c r="B103" s="2114" t="s">
        <v>704</v>
      </c>
      <c r="C103" s="2092" t="s">
        <v>761</v>
      </c>
      <c r="D103" s="2099" t="s">
        <v>995</v>
      </c>
    </row>
    <row r="104" spans="1:4" s="1900" customFormat="1" ht="37.5" x14ac:dyDescent="0.2">
      <c r="A104" s="2096" t="s">
        <v>411</v>
      </c>
      <c r="B104" s="2114" t="s">
        <v>704</v>
      </c>
      <c r="C104" s="2119" t="s">
        <v>1178</v>
      </c>
      <c r="D104" s="2152" t="s">
        <v>1179</v>
      </c>
    </row>
    <row r="105" spans="1:4" s="1900" customFormat="1" ht="37.5" x14ac:dyDescent="0.2">
      <c r="A105" s="2096" t="s">
        <v>411</v>
      </c>
      <c r="B105" s="2114" t="s">
        <v>704</v>
      </c>
      <c r="C105" s="2119" t="s">
        <v>1180</v>
      </c>
      <c r="D105" s="2152" t="s">
        <v>1179</v>
      </c>
    </row>
    <row r="106" spans="1:4" s="1900" customFormat="1" ht="131.25" x14ac:dyDescent="0.2">
      <c r="A106" s="2096" t="s">
        <v>329</v>
      </c>
      <c r="B106" s="2114" t="s">
        <v>704</v>
      </c>
      <c r="C106" s="2092" t="s">
        <v>796</v>
      </c>
      <c r="D106" s="2122" t="s">
        <v>1032</v>
      </c>
    </row>
    <row r="107" spans="1:4" s="1900" customFormat="1" ht="18.75" x14ac:dyDescent="0.2">
      <c r="A107" s="2096" t="s">
        <v>329</v>
      </c>
      <c r="B107" s="2114" t="s">
        <v>704</v>
      </c>
      <c r="C107" s="2092" t="s">
        <v>797</v>
      </c>
      <c r="D107" s="2161" t="s">
        <v>843</v>
      </c>
    </row>
    <row r="108" spans="1:4" s="1900" customFormat="1" ht="112.5" x14ac:dyDescent="0.2">
      <c r="A108" s="2096" t="s">
        <v>925</v>
      </c>
      <c r="B108" s="2114" t="s">
        <v>704</v>
      </c>
      <c r="C108" s="2092" t="s">
        <v>752</v>
      </c>
      <c r="D108" s="2160" t="s">
        <v>1089</v>
      </c>
    </row>
    <row r="109" spans="1:4" s="1900" customFormat="1" ht="18.75" x14ac:dyDescent="0.2">
      <c r="A109" s="2096" t="s">
        <v>925</v>
      </c>
      <c r="B109" s="2114" t="s">
        <v>704</v>
      </c>
      <c r="C109" s="2156" t="s">
        <v>753</v>
      </c>
      <c r="D109" s="2160" t="s">
        <v>1090</v>
      </c>
    </row>
    <row r="110" spans="1:4" s="1900" customFormat="1" ht="18.75" x14ac:dyDescent="0.2">
      <c r="A110" s="2096" t="s">
        <v>925</v>
      </c>
      <c r="B110" s="2114" t="s">
        <v>704</v>
      </c>
      <c r="C110" s="2092" t="s">
        <v>1091</v>
      </c>
      <c r="D110" s="2099" t="s">
        <v>1092</v>
      </c>
    </row>
    <row r="111" spans="1:4" ht="18.75" x14ac:dyDescent="0.2">
      <c r="A111" s="2096" t="s">
        <v>925</v>
      </c>
      <c r="B111" s="2114" t="s">
        <v>704</v>
      </c>
      <c r="C111" s="2092" t="s">
        <v>1093</v>
      </c>
      <c r="D111" s="2099" t="s">
        <v>1094</v>
      </c>
    </row>
    <row r="112" spans="1:4" s="1900" customFormat="1" ht="18.75" x14ac:dyDescent="0.2">
      <c r="A112" s="2096" t="s">
        <v>925</v>
      </c>
      <c r="B112" s="2114" t="s">
        <v>704</v>
      </c>
      <c r="C112" s="2092" t="s">
        <v>1095</v>
      </c>
      <c r="D112" s="2099" t="s">
        <v>1096</v>
      </c>
    </row>
    <row r="113" spans="1:4" s="1900" customFormat="1" ht="18.75" x14ac:dyDescent="0.2">
      <c r="A113" s="2096" t="s">
        <v>925</v>
      </c>
      <c r="B113" s="2114" t="s">
        <v>704</v>
      </c>
      <c r="C113" s="2092" t="s">
        <v>1097</v>
      </c>
      <c r="D113" s="2099" t="s">
        <v>1092</v>
      </c>
    </row>
    <row r="114" spans="1:4" ht="18.75" x14ac:dyDescent="0.2">
      <c r="A114" s="2096" t="s">
        <v>925</v>
      </c>
      <c r="B114" s="2114" t="s">
        <v>704</v>
      </c>
      <c r="C114" s="2092" t="s">
        <v>1098</v>
      </c>
      <c r="D114" s="2099" t="s">
        <v>1092</v>
      </c>
    </row>
    <row r="115" spans="1:4" s="1900" customFormat="1" ht="18.75" x14ac:dyDescent="0.2">
      <c r="A115" s="2096" t="s">
        <v>925</v>
      </c>
      <c r="B115" s="2114" t="s">
        <v>704</v>
      </c>
      <c r="C115" s="2092" t="s">
        <v>1099</v>
      </c>
      <c r="D115" s="2099" t="s">
        <v>1092</v>
      </c>
    </row>
    <row r="116" spans="1:4" ht="18.75" x14ac:dyDescent="0.2">
      <c r="A116" s="2096" t="s">
        <v>925</v>
      </c>
      <c r="B116" s="2114" t="s">
        <v>704</v>
      </c>
      <c r="C116" s="2092" t="s">
        <v>1100</v>
      </c>
      <c r="D116" s="2099" t="s">
        <v>1092</v>
      </c>
    </row>
    <row r="117" spans="1:4" s="1900" customFormat="1" ht="18.75" x14ac:dyDescent="0.2">
      <c r="A117" s="2096" t="s">
        <v>925</v>
      </c>
      <c r="B117" s="2114" t="s">
        <v>704</v>
      </c>
      <c r="C117" s="2092" t="s">
        <v>1101</v>
      </c>
      <c r="D117" s="2099" t="s">
        <v>1092</v>
      </c>
    </row>
    <row r="118" spans="1:4" s="1900" customFormat="1" ht="18.75" x14ac:dyDescent="0.2">
      <c r="A118" s="2096" t="s">
        <v>925</v>
      </c>
      <c r="B118" s="2114" t="s">
        <v>704</v>
      </c>
      <c r="C118" s="2092" t="s">
        <v>1102</v>
      </c>
      <c r="D118" s="2099" t="s">
        <v>1092</v>
      </c>
    </row>
    <row r="119" spans="1:4" s="1900" customFormat="1" ht="18.75" x14ac:dyDescent="0.2">
      <c r="A119" s="2096" t="s">
        <v>925</v>
      </c>
      <c r="B119" s="2114" t="s">
        <v>704</v>
      </c>
      <c r="C119" s="2092" t="s">
        <v>1103</v>
      </c>
      <c r="D119" s="2099" t="s">
        <v>1092</v>
      </c>
    </row>
    <row r="120" spans="1:4" s="1900" customFormat="1" ht="18.75" x14ac:dyDescent="0.2">
      <c r="A120" s="2096" t="s">
        <v>925</v>
      </c>
      <c r="B120" s="2114" t="s">
        <v>704</v>
      </c>
      <c r="C120" s="2092" t="s">
        <v>1104</v>
      </c>
      <c r="D120" s="2099" t="s">
        <v>1092</v>
      </c>
    </row>
    <row r="121" spans="1:4" s="1900" customFormat="1" ht="56.25" x14ac:dyDescent="0.2">
      <c r="A121" s="2096" t="s">
        <v>372</v>
      </c>
      <c r="B121" s="2114" t="s">
        <v>704</v>
      </c>
      <c r="C121" s="2092" t="s">
        <v>734</v>
      </c>
      <c r="D121" s="2099" t="s">
        <v>1182</v>
      </c>
    </row>
    <row r="122" spans="1:4" s="1900" customFormat="1" ht="37.5" x14ac:dyDescent="0.2">
      <c r="A122" s="2096" t="s">
        <v>372</v>
      </c>
      <c r="B122" s="2114" t="s">
        <v>704</v>
      </c>
      <c r="C122" s="2092" t="s">
        <v>735</v>
      </c>
      <c r="D122" s="2099" t="s">
        <v>917</v>
      </c>
    </row>
    <row r="123" spans="1:4" s="1900" customFormat="1" ht="56.25" x14ac:dyDescent="0.2">
      <c r="A123" s="2096" t="s">
        <v>372</v>
      </c>
      <c r="B123" s="2114" t="s">
        <v>704</v>
      </c>
      <c r="C123" s="2092" t="s">
        <v>736</v>
      </c>
      <c r="D123" s="2099" t="s">
        <v>918</v>
      </c>
    </row>
    <row r="124" spans="1:4" s="1900" customFormat="1" ht="37.5" x14ac:dyDescent="0.2">
      <c r="A124" s="2096" t="s">
        <v>372</v>
      </c>
      <c r="B124" s="2114" t="s">
        <v>704</v>
      </c>
      <c r="C124" s="2131" t="s">
        <v>830</v>
      </c>
      <c r="D124" s="2132" t="s">
        <v>836</v>
      </c>
    </row>
    <row r="125" spans="1:4" s="1900" customFormat="1" ht="37.5" x14ac:dyDescent="0.2">
      <c r="A125" s="2096" t="s">
        <v>372</v>
      </c>
      <c r="B125" s="2114" t="s">
        <v>704</v>
      </c>
      <c r="C125" s="2131" t="s">
        <v>831</v>
      </c>
      <c r="D125" s="2132" t="s">
        <v>836</v>
      </c>
    </row>
    <row r="126" spans="1:4" s="1900" customFormat="1" ht="37.5" x14ac:dyDescent="0.2">
      <c r="A126" s="2096" t="s">
        <v>372</v>
      </c>
      <c r="B126" s="2114" t="s">
        <v>704</v>
      </c>
      <c r="C126" s="2131" t="s">
        <v>832</v>
      </c>
      <c r="D126" s="2132" t="s">
        <v>835</v>
      </c>
    </row>
    <row r="127" spans="1:4" s="1900" customFormat="1" ht="37.5" x14ac:dyDescent="0.2">
      <c r="A127" s="2096" t="s">
        <v>372</v>
      </c>
      <c r="B127" s="2114" t="s">
        <v>704</v>
      </c>
      <c r="C127" s="2131" t="s">
        <v>833</v>
      </c>
      <c r="D127" s="2132" t="s">
        <v>836</v>
      </c>
    </row>
    <row r="128" spans="1:4" s="1900" customFormat="1" ht="37.5" x14ac:dyDescent="0.2">
      <c r="A128" s="2096" t="s">
        <v>372</v>
      </c>
      <c r="B128" s="2114" t="s">
        <v>704</v>
      </c>
      <c r="C128" s="2131" t="s">
        <v>834</v>
      </c>
      <c r="D128" s="2132" t="s">
        <v>835</v>
      </c>
    </row>
    <row r="129" spans="1:5" ht="37.5" x14ac:dyDescent="0.2">
      <c r="A129" s="2096" t="s">
        <v>374</v>
      </c>
      <c r="B129" s="2102" t="s">
        <v>710</v>
      </c>
      <c r="C129" s="2092" t="s">
        <v>751</v>
      </c>
      <c r="D129" s="2099" t="s">
        <v>858</v>
      </c>
    </row>
    <row r="130" spans="1:5" s="1900" customFormat="1" ht="56.25" x14ac:dyDescent="0.2">
      <c r="A130" s="2096" t="s">
        <v>376</v>
      </c>
      <c r="B130" s="2102" t="s">
        <v>710</v>
      </c>
      <c r="C130" s="2092" t="s">
        <v>772</v>
      </c>
      <c r="D130" s="2122" t="s">
        <v>905</v>
      </c>
    </row>
    <row r="131" spans="1:5" s="1900" customFormat="1" ht="18.75" x14ac:dyDescent="0.2">
      <c r="A131" s="2096" t="s">
        <v>376</v>
      </c>
      <c r="B131" s="2102" t="s">
        <v>710</v>
      </c>
      <c r="C131" s="2092" t="s">
        <v>773</v>
      </c>
      <c r="D131" s="2099" t="s">
        <v>859</v>
      </c>
    </row>
    <row r="132" spans="1:5" s="1900" customFormat="1" ht="18.75" x14ac:dyDescent="0.2">
      <c r="A132" s="2096" t="s">
        <v>376</v>
      </c>
      <c r="B132" s="2102" t="s">
        <v>710</v>
      </c>
      <c r="C132" s="2092" t="s">
        <v>774</v>
      </c>
      <c r="D132" s="2099" t="s">
        <v>859</v>
      </c>
    </row>
    <row r="133" spans="1:5" s="1900" customFormat="1" ht="56.25" x14ac:dyDescent="0.2">
      <c r="A133" s="2096" t="s">
        <v>376</v>
      </c>
      <c r="B133" s="2102" t="s">
        <v>710</v>
      </c>
      <c r="C133" s="2097" t="s">
        <v>903</v>
      </c>
      <c r="D133" s="2121" t="s">
        <v>921</v>
      </c>
    </row>
    <row r="134" spans="1:5" s="1900" customFormat="1" ht="18.75" x14ac:dyDescent="0.2">
      <c r="A134" s="2096" t="s">
        <v>376</v>
      </c>
      <c r="B134" s="2102" t="s">
        <v>710</v>
      </c>
      <c r="C134" s="2131" t="s">
        <v>904</v>
      </c>
      <c r="D134" s="2121" t="s">
        <v>922</v>
      </c>
    </row>
    <row r="135" spans="1:5" s="1900" customFormat="1" ht="37.5" x14ac:dyDescent="0.2">
      <c r="A135" s="2096" t="s">
        <v>376</v>
      </c>
      <c r="B135" s="2102" t="s">
        <v>710</v>
      </c>
      <c r="C135" s="2131" t="s">
        <v>1119</v>
      </c>
      <c r="D135" s="2142" t="s">
        <v>1120</v>
      </c>
    </row>
    <row r="136" spans="1:5" s="1900" customFormat="1" ht="18.75" x14ac:dyDescent="0.2">
      <c r="A136" s="2096" t="s">
        <v>376</v>
      </c>
      <c r="B136" s="2102" t="s">
        <v>710</v>
      </c>
      <c r="C136" s="2131" t="s">
        <v>907</v>
      </c>
      <c r="D136" s="2121" t="s">
        <v>906</v>
      </c>
    </row>
    <row r="137" spans="1:5" ht="409.5" x14ac:dyDescent="0.2">
      <c r="A137" s="2096" t="s">
        <v>336</v>
      </c>
      <c r="B137" s="2102" t="s">
        <v>710</v>
      </c>
      <c r="C137" s="2092" t="s">
        <v>762</v>
      </c>
      <c r="D137" s="2138" t="s">
        <v>1190</v>
      </c>
    </row>
    <row r="138" spans="1:5" s="1900" customFormat="1" ht="56.25" x14ac:dyDescent="0.2">
      <c r="A138" s="2096" t="s">
        <v>336</v>
      </c>
      <c r="B138" s="2102" t="s">
        <v>710</v>
      </c>
      <c r="C138" s="2092" t="s">
        <v>1191</v>
      </c>
      <c r="D138" s="2099" t="s">
        <v>1192</v>
      </c>
    </row>
    <row r="139" spans="1:5" s="1900" customFormat="1" ht="37.5" x14ac:dyDescent="0.2">
      <c r="A139" s="2096" t="s">
        <v>336</v>
      </c>
      <c r="B139" s="2102" t="s">
        <v>710</v>
      </c>
      <c r="C139" s="2092" t="s">
        <v>763</v>
      </c>
      <c r="D139" s="2099" t="s">
        <v>860</v>
      </c>
    </row>
    <row r="140" spans="1:5" s="1900" customFormat="1" ht="56.25" x14ac:dyDescent="0.2">
      <c r="A140" s="2096" t="s">
        <v>336</v>
      </c>
      <c r="B140" s="2102" t="s">
        <v>710</v>
      </c>
      <c r="C140" s="2092" t="s">
        <v>764</v>
      </c>
      <c r="D140" s="2099" t="s">
        <v>1193</v>
      </c>
    </row>
    <row r="141" spans="1:5" s="1900" customFormat="1" ht="37.5" x14ac:dyDescent="0.2">
      <c r="A141" s="2096" t="s">
        <v>336</v>
      </c>
      <c r="B141" s="2102" t="s">
        <v>710</v>
      </c>
      <c r="C141" s="2092" t="s">
        <v>765</v>
      </c>
      <c r="D141" s="2099" t="s">
        <v>852</v>
      </c>
      <c r="E141" s="372"/>
    </row>
    <row r="142" spans="1:5" ht="37.5" x14ac:dyDescent="0.2">
      <c r="A142" s="2096" t="s">
        <v>336</v>
      </c>
      <c r="B142" s="2102" t="s">
        <v>710</v>
      </c>
      <c r="C142" s="2092" t="s">
        <v>766</v>
      </c>
      <c r="D142" s="2099" t="s">
        <v>852</v>
      </c>
    </row>
    <row r="143" spans="1:5" s="1900" customFormat="1" ht="37.5" x14ac:dyDescent="0.2">
      <c r="A143" s="2096" t="s">
        <v>336</v>
      </c>
      <c r="B143" s="2102" t="s">
        <v>710</v>
      </c>
      <c r="C143" s="2092" t="s">
        <v>998</v>
      </c>
      <c r="D143" s="2099" t="s">
        <v>852</v>
      </c>
    </row>
    <row r="144" spans="1:5" s="1900" customFormat="1" ht="37.5" x14ac:dyDescent="0.2">
      <c r="A144" s="2096" t="s">
        <v>416</v>
      </c>
      <c r="B144" s="2102" t="s">
        <v>710</v>
      </c>
      <c r="C144" s="2092" t="s">
        <v>823</v>
      </c>
      <c r="D144" s="2099" t="s">
        <v>861</v>
      </c>
    </row>
    <row r="145" spans="1:4" s="1900" customFormat="1" ht="93.75" x14ac:dyDescent="0.3">
      <c r="A145" s="2113" t="s">
        <v>1151</v>
      </c>
      <c r="B145" s="2163" t="s">
        <v>710</v>
      </c>
      <c r="C145" s="2113" t="s">
        <v>1152</v>
      </c>
      <c r="D145" s="2148" t="s">
        <v>1153</v>
      </c>
    </row>
    <row r="146" spans="1:4" s="1900" customFormat="1" ht="75" x14ac:dyDescent="0.2">
      <c r="A146" s="2096" t="s">
        <v>506</v>
      </c>
      <c r="B146" s="2102" t="s">
        <v>710</v>
      </c>
      <c r="C146" s="2092" t="s">
        <v>824</v>
      </c>
      <c r="D146" s="2099" t="s">
        <v>862</v>
      </c>
    </row>
    <row r="147" spans="1:4" s="1900" customFormat="1" ht="37.5" x14ac:dyDescent="0.2">
      <c r="A147" s="2117" t="s">
        <v>506</v>
      </c>
      <c r="B147" s="2118" t="s">
        <v>710</v>
      </c>
      <c r="C147" s="2119" t="s">
        <v>1078</v>
      </c>
      <c r="D147" s="2120" t="s">
        <v>1137</v>
      </c>
    </row>
    <row r="148" spans="1:4" s="1900" customFormat="1" ht="56.25" x14ac:dyDescent="0.2">
      <c r="A148" s="2096" t="s">
        <v>112</v>
      </c>
      <c r="B148" s="2103" t="s">
        <v>707</v>
      </c>
      <c r="C148" s="2097" t="s">
        <v>1018</v>
      </c>
      <c r="D148" s="2099" t="s">
        <v>1194</v>
      </c>
    </row>
    <row r="149" spans="1:4" s="1900" customFormat="1" ht="37.5" x14ac:dyDescent="0.2">
      <c r="A149" s="2096" t="s">
        <v>112</v>
      </c>
      <c r="B149" s="2103" t="s">
        <v>707</v>
      </c>
      <c r="C149" s="2092" t="s">
        <v>1020</v>
      </c>
      <c r="D149" s="2099" t="s">
        <v>1019</v>
      </c>
    </row>
    <row r="150" spans="1:4" s="1900" customFormat="1" ht="37.5" x14ac:dyDescent="0.2">
      <c r="A150" s="2096" t="s">
        <v>112</v>
      </c>
      <c r="B150" s="2103" t="s">
        <v>707</v>
      </c>
      <c r="C150" s="2092" t="s">
        <v>1021</v>
      </c>
      <c r="D150" s="2099" t="s">
        <v>1019</v>
      </c>
    </row>
    <row r="151" spans="1:4" s="1900" customFormat="1" ht="37.5" x14ac:dyDescent="0.2">
      <c r="A151" s="2096" t="s">
        <v>112</v>
      </c>
      <c r="B151" s="2103" t="s">
        <v>707</v>
      </c>
      <c r="C151" s="2092" t="s">
        <v>1022</v>
      </c>
      <c r="D151" s="2099" t="s">
        <v>1019</v>
      </c>
    </row>
    <row r="152" spans="1:4" ht="56.25" x14ac:dyDescent="0.2">
      <c r="A152" s="2096" t="s">
        <v>112</v>
      </c>
      <c r="B152" s="2103" t="s">
        <v>707</v>
      </c>
      <c r="C152" s="2092" t="s">
        <v>1023</v>
      </c>
      <c r="D152" s="2099" t="s">
        <v>1195</v>
      </c>
    </row>
    <row r="153" spans="1:4" s="1900" customFormat="1" ht="37.5" x14ac:dyDescent="0.2">
      <c r="A153" s="2096" t="s">
        <v>112</v>
      </c>
      <c r="B153" s="2103" t="s">
        <v>707</v>
      </c>
      <c r="C153" s="2092" t="s">
        <v>1024</v>
      </c>
      <c r="D153" s="2099" t="s">
        <v>1019</v>
      </c>
    </row>
    <row r="154" spans="1:4" s="1900" customFormat="1" ht="37.5" x14ac:dyDescent="0.2">
      <c r="A154" s="2096" t="s">
        <v>112</v>
      </c>
      <c r="B154" s="2103" t="s">
        <v>707</v>
      </c>
      <c r="C154" s="2092" t="s">
        <v>1025</v>
      </c>
      <c r="D154" s="2099" t="s">
        <v>1019</v>
      </c>
    </row>
    <row r="155" spans="1:4" s="1900" customFormat="1" ht="18.75" x14ac:dyDescent="0.2">
      <c r="A155" s="2096" t="s">
        <v>382</v>
      </c>
      <c r="B155" s="2103" t="s">
        <v>707</v>
      </c>
      <c r="C155" s="2092" t="s">
        <v>819</v>
      </c>
      <c r="D155" s="2099" t="s">
        <v>848</v>
      </c>
    </row>
    <row r="156" spans="1:4" s="1900" customFormat="1" ht="93.75" x14ac:dyDescent="0.2">
      <c r="A156" s="2096" t="s">
        <v>382</v>
      </c>
      <c r="B156" s="2103" t="s">
        <v>707</v>
      </c>
      <c r="C156" s="2092" t="s">
        <v>1077</v>
      </c>
      <c r="D156" s="2099" t="s">
        <v>1177</v>
      </c>
    </row>
    <row r="157" spans="1:4" ht="112.5" x14ac:dyDescent="0.2">
      <c r="A157" s="2096" t="s">
        <v>110</v>
      </c>
      <c r="B157" s="2103" t="s">
        <v>707</v>
      </c>
      <c r="C157" s="2092" t="s">
        <v>714</v>
      </c>
      <c r="D157" s="2099" t="s">
        <v>923</v>
      </c>
    </row>
    <row r="158" spans="1:4" s="1900" customFormat="1" ht="56.25" x14ac:dyDescent="0.2">
      <c r="A158" s="2096" t="s">
        <v>110</v>
      </c>
      <c r="B158" s="2103" t="s">
        <v>707</v>
      </c>
      <c r="C158" s="2092" t="s">
        <v>715</v>
      </c>
      <c r="D158" s="2099" t="s">
        <v>929</v>
      </c>
    </row>
    <row r="159" spans="1:4" s="1900" customFormat="1" ht="93.75" x14ac:dyDescent="0.2">
      <c r="A159" s="2096" t="s">
        <v>381</v>
      </c>
      <c r="B159" s="2103" t="s">
        <v>707</v>
      </c>
      <c r="C159" s="2092" t="s">
        <v>741</v>
      </c>
      <c r="D159" s="2099" t="s">
        <v>1053</v>
      </c>
    </row>
    <row r="160" spans="1:4" s="1900" customFormat="1" ht="93.75" x14ac:dyDescent="0.2">
      <c r="A160" s="2096" t="s">
        <v>381</v>
      </c>
      <c r="B160" s="2103" t="s">
        <v>707</v>
      </c>
      <c r="C160" s="2092" t="s">
        <v>740</v>
      </c>
      <c r="D160" s="2099" t="s">
        <v>1054</v>
      </c>
    </row>
    <row r="161" spans="1:4" s="1900" customFormat="1" ht="225" x14ac:dyDescent="0.2">
      <c r="A161" s="2096" t="s">
        <v>381</v>
      </c>
      <c r="B161" s="2103" t="s">
        <v>707</v>
      </c>
      <c r="C161" s="2092" t="s">
        <v>932</v>
      </c>
      <c r="D161" s="2099" t="s">
        <v>1055</v>
      </c>
    </row>
    <row r="162" spans="1:4" s="1900" customFormat="1" ht="37.5" x14ac:dyDescent="0.2">
      <c r="A162" s="2096" t="s">
        <v>381</v>
      </c>
      <c r="B162" s="2103" t="s">
        <v>707</v>
      </c>
      <c r="C162" s="2092" t="s">
        <v>970</v>
      </c>
      <c r="D162" s="2099" t="s">
        <v>1056</v>
      </c>
    </row>
    <row r="163" spans="1:4" ht="37.5" x14ac:dyDescent="0.2">
      <c r="A163" s="2096" t="s">
        <v>381</v>
      </c>
      <c r="B163" s="2103" t="s">
        <v>707</v>
      </c>
      <c r="C163" s="2092" t="s">
        <v>968</v>
      </c>
      <c r="D163" s="2099" t="s">
        <v>1056</v>
      </c>
    </row>
    <row r="164" spans="1:4" ht="37.5" x14ac:dyDescent="0.2">
      <c r="A164" s="2096" t="s">
        <v>381</v>
      </c>
      <c r="B164" s="2103" t="s">
        <v>707</v>
      </c>
      <c r="C164" s="2092" t="s">
        <v>967</v>
      </c>
      <c r="D164" s="2099" t="s">
        <v>1056</v>
      </c>
    </row>
    <row r="165" spans="1:4" s="1900" customFormat="1" ht="37.5" x14ac:dyDescent="0.2">
      <c r="A165" s="2096" t="s">
        <v>381</v>
      </c>
      <c r="B165" s="2103" t="s">
        <v>707</v>
      </c>
      <c r="C165" s="2092" t="s">
        <v>969</v>
      </c>
      <c r="D165" s="2099" t="s">
        <v>1056</v>
      </c>
    </row>
    <row r="166" spans="1:4" s="1900" customFormat="1" ht="37.5" x14ac:dyDescent="0.2">
      <c r="A166" s="2096" t="s">
        <v>381</v>
      </c>
      <c r="B166" s="2103" t="s">
        <v>707</v>
      </c>
      <c r="C166" s="2092" t="s">
        <v>971</v>
      </c>
      <c r="D166" s="2099" t="s">
        <v>1056</v>
      </c>
    </row>
    <row r="167" spans="1:4" s="1900" customFormat="1" ht="168.75" x14ac:dyDescent="0.2">
      <c r="A167" s="2096" t="s">
        <v>381</v>
      </c>
      <c r="B167" s="2103" t="s">
        <v>707</v>
      </c>
      <c r="C167" s="2092" t="s">
        <v>1057</v>
      </c>
      <c r="D167" s="2099" t="s">
        <v>1058</v>
      </c>
    </row>
    <row r="168" spans="1:4" s="1900" customFormat="1" ht="18.75" x14ac:dyDescent="0.2">
      <c r="A168" s="2096" t="s">
        <v>381</v>
      </c>
      <c r="B168" s="2103" t="s">
        <v>707</v>
      </c>
      <c r="C168" s="2092" t="s">
        <v>1059</v>
      </c>
      <c r="D168" s="2099" t="s">
        <v>848</v>
      </c>
    </row>
    <row r="169" spans="1:4" s="1900" customFormat="1" ht="56.25" x14ac:dyDescent="0.2">
      <c r="A169" s="2096" t="s">
        <v>381</v>
      </c>
      <c r="B169" s="2103" t="s">
        <v>707</v>
      </c>
      <c r="C169" s="2092" t="s">
        <v>1060</v>
      </c>
      <c r="D169" s="2099" t="s">
        <v>1061</v>
      </c>
    </row>
    <row r="170" spans="1:4" s="1900" customFormat="1" ht="18.75" x14ac:dyDescent="0.3">
      <c r="A170" s="2096" t="s">
        <v>381</v>
      </c>
      <c r="B170" s="2103" t="s">
        <v>707</v>
      </c>
      <c r="C170" s="2113" t="s">
        <v>1062</v>
      </c>
      <c r="D170" s="2099" t="s">
        <v>848</v>
      </c>
    </row>
    <row r="171" spans="1:4" s="1900" customFormat="1" ht="18.75" x14ac:dyDescent="0.2">
      <c r="A171" s="2096" t="s">
        <v>377</v>
      </c>
      <c r="B171" s="2103" t="s">
        <v>707</v>
      </c>
      <c r="C171" s="2092" t="s">
        <v>716</v>
      </c>
      <c r="D171" s="2099" t="s">
        <v>849</v>
      </c>
    </row>
    <row r="172" spans="1:4" ht="18.75" x14ac:dyDescent="0.2">
      <c r="A172" s="2096" t="s">
        <v>377</v>
      </c>
      <c r="B172" s="2103" t="s">
        <v>707</v>
      </c>
      <c r="C172" s="2092" t="s">
        <v>930</v>
      </c>
      <c r="D172" s="2099" t="s">
        <v>931</v>
      </c>
    </row>
    <row r="173" spans="1:4" s="1900" customFormat="1" ht="37.5" x14ac:dyDescent="0.2">
      <c r="A173" s="2096" t="s">
        <v>412</v>
      </c>
      <c r="B173" s="2103" t="s">
        <v>707</v>
      </c>
      <c r="C173" s="2092" t="s">
        <v>738</v>
      </c>
      <c r="D173" s="2099" t="s">
        <v>850</v>
      </c>
    </row>
    <row r="174" spans="1:4" s="1900" customFormat="1" ht="37.5" x14ac:dyDescent="0.2">
      <c r="A174" s="2096" t="s">
        <v>412</v>
      </c>
      <c r="B174" s="2103" t="s">
        <v>707</v>
      </c>
      <c r="C174" s="2096" t="s">
        <v>739</v>
      </c>
      <c r="D174" s="2099" t="s">
        <v>939</v>
      </c>
    </row>
    <row r="175" spans="1:4" s="1900" customFormat="1" ht="18.75" x14ac:dyDescent="0.2">
      <c r="A175" s="2096" t="s">
        <v>111</v>
      </c>
      <c r="B175" s="2103" t="s">
        <v>707</v>
      </c>
      <c r="C175" s="2092"/>
      <c r="D175" s="2099"/>
    </row>
    <row r="176" spans="1:4" s="1900" customFormat="1" ht="37.5" x14ac:dyDescent="0.2">
      <c r="A176" s="2096" t="s">
        <v>378</v>
      </c>
      <c r="B176" s="2103" t="s">
        <v>707</v>
      </c>
      <c r="C176" s="2091" t="s">
        <v>713</v>
      </c>
      <c r="D176" s="2099" t="s">
        <v>851</v>
      </c>
    </row>
    <row r="177" spans="1:4" ht="37.5" x14ac:dyDescent="0.2">
      <c r="A177" s="2096" t="s">
        <v>378</v>
      </c>
      <c r="B177" s="2103" t="s">
        <v>707</v>
      </c>
      <c r="C177" s="2091" t="s">
        <v>729</v>
      </c>
      <c r="D177" s="2099" t="s">
        <v>997</v>
      </c>
    </row>
    <row r="178" spans="1:4" s="1900" customFormat="1" ht="18.75" x14ac:dyDescent="0.2">
      <c r="A178" s="2096" t="s">
        <v>378</v>
      </c>
      <c r="B178" s="2103" t="s">
        <v>707</v>
      </c>
      <c r="C178" s="2091" t="s">
        <v>730</v>
      </c>
      <c r="D178" s="2099" t="s">
        <v>852</v>
      </c>
    </row>
    <row r="179" spans="1:4" s="1900" customFormat="1" ht="18.75" x14ac:dyDescent="0.2">
      <c r="A179" s="2096" t="s">
        <v>378</v>
      </c>
      <c r="B179" s="2103" t="s">
        <v>707</v>
      </c>
      <c r="C179" s="2091" t="s">
        <v>731</v>
      </c>
      <c r="D179" s="2099" t="s">
        <v>852</v>
      </c>
    </row>
    <row r="180" spans="1:4" s="372" customFormat="1" ht="37.5" x14ac:dyDescent="0.2">
      <c r="A180" s="2096" t="s">
        <v>378</v>
      </c>
      <c r="B180" s="2103" t="s">
        <v>707</v>
      </c>
      <c r="C180" s="2091" t="s">
        <v>732</v>
      </c>
      <c r="D180" s="2099" t="s">
        <v>1149</v>
      </c>
    </row>
    <row r="181" spans="1:4" s="372" customFormat="1" ht="38.25" thickBot="1" x14ac:dyDescent="0.25">
      <c r="A181" s="2096" t="s">
        <v>378</v>
      </c>
      <c r="B181" s="2103" t="s">
        <v>707</v>
      </c>
      <c r="C181" s="2157" t="s">
        <v>733</v>
      </c>
      <c r="D181" s="2099" t="s">
        <v>1150</v>
      </c>
    </row>
    <row r="182" spans="1:4" s="372" customFormat="1" ht="169.5" thickBot="1" x14ac:dyDescent="0.25">
      <c r="A182" s="2096" t="s">
        <v>1154</v>
      </c>
      <c r="B182" s="2153" t="s">
        <v>707</v>
      </c>
      <c r="C182" s="2091" t="s">
        <v>987</v>
      </c>
      <c r="D182" s="2162" t="s">
        <v>1035</v>
      </c>
    </row>
    <row r="183" spans="1:4" s="372" customFormat="1" ht="168.75" x14ac:dyDescent="0.2">
      <c r="A183" s="2096" t="s">
        <v>1154</v>
      </c>
      <c r="B183" s="2103" t="s">
        <v>707</v>
      </c>
      <c r="C183" s="2150" t="s">
        <v>771</v>
      </c>
      <c r="D183" s="2120" t="s">
        <v>1036</v>
      </c>
    </row>
    <row r="184" spans="1:4" s="372" customFormat="1" ht="37.5" x14ac:dyDescent="0.2">
      <c r="A184" s="2096" t="s">
        <v>1201</v>
      </c>
      <c r="B184" s="2103" t="s">
        <v>707</v>
      </c>
      <c r="C184" s="2092" t="s">
        <v>828</v>
      </c>
      <c r="D184" s="2099" t="s">
        <v>853</v>
      </c>
    </row>
    <row r="185" spans="1:4" s="372" customFormat="1" ht="75" x14ac:dyDescent="0.2">
      <c r="A185" s="2096" t="s">
        <v>1154</v>
      </c>
      <c r="B185" s="2103" t="s">
        <v>707</v>
      </c>
      <c r="C185" s="2092" t="s">
        <v>991</v>
      </c>
      <c r="D185" s="2120" t="s">
        <v>990</v>
      </c>
    </row>
    <row r="186" spans="1:4" ht="75" x14ac:dyDescent="0.2">
      <c r="A186" s="2096" t="s">
        <v>1154</v>
      </c>
      <c r="B186" s="2103" t="s">
        <v>707</v>
      </c>
      <c r="C186" s="2092" t="s">
        <v>992</v>
      </c>
      <c r="D186" s="2120" t="s">
        <v>990</v>
      </c>
    </row>
    <row r="187" spans="1:4" s="1900" customFormat="1" ht="37.5" x14ac:dyDescent="0.2">
      <c r="A187" s="2096" t="s">
        <v>1154</v>
      </c>
      <c r="B187" s="2103" t="s">
        <v>707</v>
      </c>
      <c r="C187" s="2092" t="s">
        <v>993</v>
      </c>
      <c r="D187" s="2120" t="s">
        <v>989</v>
      </c>
    </row>
    <row r="188" spans="1:4" s="1900" customFormat="1" ht="18.75" x14ac:dyDescent="0.2">
      <c r="A188" s="2096" t="s">
        <v>1154</v>
      </c>
      <c r="B188" s="2103" t="s">
        <v>707</v>
      </c>
      <c r="C188" s="2092" t="s">
        <v>994</v>
      </c>
      <c r="D188" s="2120" t="s">
        <v>988</v>
      </c>
    </row>
    <row r="189" spans="1:4" s="1900" customFormat="1" ht="18.75" x14ac:dyDescent="0.3">
      <c r="A189" s="2096" t="s">
        <v>415</v>
      </c>
      <c r="B189" s="2103" t="s">
        <v>707</v>
      </c>
      <c r="C189" s="2113" t="s">
        <v>1184</v>
      </c>
      <c r="D189" s="2130" t="s">
        <v>1185</v>
      </c>
    </row>
    <row r="190" spans="1:4" s="1900" customFormat="1" ht="75" x14ac:dyDescent="0.2">
      <c r="A190" s="2096" t="s">
        <v>415</v>
      </c>
      <c r="B190" s="2103" t="s">
        <v>707</v>
      </c>
      <c r="C190" s="2092" t="s">
        <v>820</v>
      </c>
      <c r="D190" s="2099" t="s">
        <v>1183</v>
      </c>
    </row>
    <row r="191" spans="1:4" s="1900" customFormat="1" ht="112.5" x14ac:dyDescent="0.2">
      <c r="A191" s="2096" t="s">
        <v>501</v>
      </c>
      <c r="B191" s="2100" t="s">
        <v>711</v>
      </c>
      <c r="C191" s="2092" t="s">
        <v>756</v>
      </c>
      <c r="D191" s="2099" t="s">
        <v>1202</v>
      </c>
    </row>
    <row r="192" spans="1:4" s="1900" customFormat="1" ht="112.5" x14ac:dyDescent="0.2">
      <c r="A192" s="2096" t="s">
        <v>501</v>
      </c>
      <c r="B192" s="2100" t="s">
        <v>711</v>
      </c>
      <c r="C192" s="2092" t="s">
        <v>757</v>
      </c>
      <c r="D192" s="2099" t="s">
        <v>1203</v>
      </c>
    </row>
    <row r="193" spans="1:4" s="1900" customFormat="1" ht="37.5" x14ac:dyDescent="0.2">
      <c r="A193" s="2096" t="s">
        <v>501</v>
      </c>
      <c r="B193" s="2100" t="s">
        <v>711</v>
      </c>
      <c r="C193" s="2092" t="s">
        <v>758</v>
      </c>
      <c r="D193" s="2099" t="s">
        <v>864</v>
      </c>
    </row>
    <row r="194" spans="1:4" s="1900" customFormat="1" ht="37.5" x14ac:dyDescent="0.2">
      <c r="A194" s="2096" t="s">
        <v>501</v>
      </c>
      <c r="B194" s="2100" t="s">
        <v>711</v>
      </c>
      <c r="C194" s="2092" t="s">
        <v>759</v>
      </c>
      <c r="D194" s="2099" t="s">
        <v>864</v>
      </c>
    </row>
    <row r="195" spans="1:4" s="1900" customFormat="1" ht="37.5" x14ac:dyDescent="0.2">
      <c r="A195" s="2096" t="s">
        <v>501</v>
      </c>
      <c r="B195" s="2100" t="s">
        <v>711</v>
      </c>
      <c r="C195" s="2092" t="s">
        <v>760</v>
      </c>
      <c r="D195" s="2099" t="s">
        <v>864</v>
      </c>
    </row>
    <row r="196" spans="1:4" s="1900" customFormat="1" ht="56.25" x14ac:dyDescent="0.2">
      <c r="A196" s="2096" t="s">
        <v>501</v>
      </c>
      <c r="B196" s="2100" t="s">
        <v>711</v>
      </c>
      <c r="C196" s="2092" t="s">
        <v>1086</v>
      </c>
      <c r="D196" s="2099" t="s">
        <v>1087</v>
      </c>
    </row>
    <row r="197" spans="1:4" s="1900" customFormat="1" ht="75" x14ac:dyDescent="0.2">
      <c r="A197" s="2096" t="s">
        <v>501</v>
      </c>
      <c r="B197" s="2100" t="s">
        <v>711</v>
      </c>
      <c r="C197" s="2092" t="s">
        <v>1088</v>
      </c>
      <c r="D197" s="2099" t="s">
        <v>1204</v>
      </c>
    </row>
    <row r="198" spans="1:4" s="1900" customFormat="1" ht="150" x14ac:dyDescent="0.2">
      <c r="A198" s="2096" t="s">
        <v>502</v>
      </c>
      <c r="B198" s="2100" t="s">
        <v>711</v>
      </c>
      <c r="C198" s="2092" t="s">
        <v>826</v>
      </c>
      <c r="D198" s="2099" t="s">
        <v>1121</v>
      </c>
    </row>
    <row r="199" spans="1:4" ht="18.75" x14ac:dyDescent="0.2">
      <c r="A199" s="2096" t="s">
        <v>502</v>
      </c>
      <c r="B199" s="2100" t="s">
        <v>711</v>
      </c>
      <c r="C199" s="2092" t="s">
        <v>827</v>
      </c>
      <c r="D199" s="2099" t="s">
        <v>865</v>
      </c>
    </row>
    <row r="200" spans="1:4" s="1900" customFormat="1" ht="112.5" x14ac:dyDescent="0.2">
      <c r="A200" s="2096" t="s">
        <v>1155</v>
      </c>
      <c r="B200" s="2101" t="s">
        <v>705</v>
      </c>
      <c r="C200" s="2092" t="s">
        <v>802</v>
      </c>
      <c r="D200" s="2099" t="s">
        <v>1011</v>
      </c>
    </row>
    <row r="201" spans="1:4" s="1900" customFormat="1" ht="168.75" x14ac:dyDescent="0.2">
      <c r="A201" s="2096" t="s">
        <v>1155</v>
      </c>
      <c r="B201" s="2101" t="s">
        <v>705</v>
      </c>
      <c r="C201" s="2092" t="s">
        <v>801</v>
      </c>
      <c r="D201" s="2099" t="s">
        <v>966</v>
      </c>
    </row>
    <row r="202" spans="1:4" s="1900" customFormat="1" ht="37.5" x14ac:dyDescent="0.2">
      <c r="A202" s="2096" t="s">
        <v>1155</v>
      </c>
      <c r="B202" s="2101" t="s">
        <v>705</v>
      </c>
      <c r="C202" s="2092" t="s">
        <v>872</v>
      </c>
      <c r="D202" s="2099" t="s">
        <v>909</v>
      </c>
    </row>
    <row r="203" spans="1:4" s="1900" customFormat="1" ht="37.5" x14ac:dyDescent="0.2">
      <c r="A203" s="2096" t="s">
        <v>1155</v>
      </c>
      <c r="B203" s="2101" t="s">
        <v>705</v>
      </c>
      <c r="C203" s="2092" t="s">
        <v>873</v>
      </c>
      <c r="D203" s="2099" t="s">
        <v>909</v>
      </c>
    </row>
    <row r="204" spans="1:4" s="1900" customFormat="1" ht="37.5" x14ac:dyDescent="0.2">
      <c r="A204" s="2096" t="s">
        <v>1155</v>
      </c>
      <c r="B204" s="2101" t="s">
        <v>705</v>
      </c>
      <c r="C204" s="2092" t="s">
        <v>874</v>
      </c>
      <c r="D204" s="2099" t="s">
        <v>909</v>
      </c>
    </row>
    <row r="205" spans="1:4" s="1900" customFormat="1" ht="37.5" x14ac:dyDescent="0.2">
      <c r="A205" s="2096" t="s">
        <v>1155</v>
      </c>
      <c r="B205" s="2101" t="s">
        <v>705</v>
      </c>
      <c r="C205" s="2092" t="s">
        <v>876</v>
      </c>
      <c r="D205" s="2099" t="s">
        <v>909</v>
      </c>
    </row>
    <row r="206" spans="1:4" s="1900" customFormat="1" ht="37.5" x14ac:dyDescent="0.2">
      <c r="A206" s="2096" t="s">
        <v>1155</v>
      </c>
      <c r="B206" s="2101" t="s">
        <v>705</v>
      </c>
      <c r="C206" s="2092" t="s">
        <v>878</v>
      </c>
      <c r="D206" s="2099" t="s">
        <v>909</v>
      </c>
    </row>
    <row r="207" spans="1:4" s="1900" customFormat="1" ht="37.5" x14ac:dyDescent="0.2">
      <c r="A207" s="2096" t="s">
        <v>1155</v>
      </c>
      <c r="B207" s="2101" t="s">
        <v>705</v>
      </c>
      <c r="C207" s="2092" t="s">
        <v>880</v>
      </c>
      <c r="D207" s="2099" t="s">
        <v>927</v>
      </c>
    </row>
    <row r="208" spans="1:4" s="1900" customFormat="1" ht="150" x14ac:dyDescent="0.2">
      <c r="A208" s="2096" t="s">
        <v>407</v>
      </c>
      <c r="B208" s="2101" t="s">
        <v>705</v>
      </c>
      <c r="C208" s="2092" t="s">
        <v>795</v>
      </c>
      <c r="D208" s="2122" t="s">
        <v>1115</v>
      </c>
    </row>
    <row r="209" spans="1:4" s="1900" customFormat="1" ht="56.25" x14ac:dyDescent="0.2">
      <c r="A209" s="2096" t="s">
        <v>407</v>
      </c>
      <c r="B209" s="2101" t="s">
        <v>705</v>
      </c>
      <c r="C209" s="2092" t="s">
        <v>883</v>
      </c>
      <c r="D209" s="2122" t="s">
        <v>1116</v>
      </c>
    </row>
    <row r="210" spans="1:4" s="1900" customFormat="1" ht="56.25" x14ac:dyDescent="0.2">
      <c r="A210" s="2096" t="s">
        <v>407</v>
      </c>
      <c r="B210" s="2101" t="s">
        <v>705</v>
      </c>
      <c r="C210" s="2092" t="s">
        <v>884</v>
      </c>
      <c r="D210" s="2122" t="s">
        <v>1117</v>
      </c>
    </row>
    <row r="211" spans="1:4" s="1900" customFormat="1" ht="56.25" x14ac:dyDescent="0.2">
      <c r="A211" s="2096" t="s">
        <v>407</v>
      </c>
      <c r="B211" s="2101" t="s">
        <v>705</v>
      </c>
      <c r="C211" s="2092" t="s">
        <v>885</v>
      </c>
      <c r="D211" s="2122" t="s">
        <v>1117</v>
      </c>
    </row>
    <row r="212" spans="1:4" s="1900" customFormat="1" ht="75" x14ac:dyDescent="0.2">
      <c r="A212" s="2096" t="s">
        <v>407</v>
      </c>
      <c r="B212" s="2101" t="s">
        <v>705</v>
      </c>
      <c r="C212" s="2092" t="s">
        <v>886</v>
      </c>
      <c r="D212" s="2122" t="s">
        <v>1118</v>
      </c>
    </row>
    <row r="213" spans="1:4" s="1900" customFormat="1" ht="37.5" x14ac:dyDescent="0.2">
      <c r="A213" s="2096" t="s">
        <v>410</v>
      </c>
      <c r="B213" s="2101" t="s">
        <v>705</v>
      </c>
      <c r="C213" s="2092" t="s">
        <v>806</v>
      </c>
      <c r="D213" s="2099" t="s">
        <v>935</v>
      </c>
    </row>
    <row r="214" spans="1:4" s="1900" customFormat="1" ht="37.5" x14ac:dyDescent="0.2">
      <c r="A214" s="2096" t="s">
        <v>410</v>
      </c>
      <c r="B214" s="2101" t="s">
        <v>705</v>
      </c>
      <c r="C214" s="2092" t="s">
        <v>807</v>
      </c>
      <c r="D214" s="2099" t="s">
        <v>844</v>
      </c>
    </row>
    <row r="215" spans="1:4" s="1900" customFormat="1" ht="18.75" x14ac:dyDescent="0.2">
      <c r="A215" s="2096" t="s">
        <v>410</v>
      </c>
      <c r="B215" s="2101" t="s">
        <v>705</v>
      </c>
      <c r="C215" s="2092" t="s">
        <v>808</v>
      </c>
      <c r="D215" s="2099" t="s">
        <v>845</v>
      </c>
    </row>
    <row r="216" spans="1:4" s="1900" customFormat="1" ht="37.5" x14ac:dyDescent="0.2">
      <c r="A216" s="2096" t="s">
        <v>410</v>
      </c>
      <c r="B216" s="2101" t="s">
        <v>705</v>
      </c>
      <c r="C216" s="2092" t="s">
        <v>809</v>
      </c>
      <c r="D216" s="2099" t="s">
        <v>846</v>
      </c>
    </row>
    <row r="217" spans="1:4" s="1900" customFormat="1" ht="18.75" x14ac:dyDescent="0.2">
      <c r="A217" s="2096" t="s">
        <v>410</v>
      </c>
      <c r="B217" s="2101" t="s">
        <v>705</v>
      </c>
      <c r="C217" s="2092" t="s">
        <v>810</v>
      </c>
      <c r="D217" s="2099" t="s">
        <v>847</v>
      </c>
    </row>
    <row r="218" spans="1:4" s="1900" customFormat="1" ht="18.75" x14ac:dyDescent="0.2">
      <c r="A218" s="2096" t="s">
        <v>410</v>
      </c>
      <c r="B218" s="2101" t="s">
        <v>705</v>
      </c>
      <c r="C218" s="2092" t="s">
        <v>811</v>
      </c>
      <c r="D218" s="2099" t="s">
        <v>847</v>
      </c>
    </row>
    <row r="219" spans="1:4" ht="18.75" x14ac:dyDescent="0.2">
      <c r="A219" s="2096" t="s">
        <v>410</v>
      </c>
      <c r="B219" s="2101" t="s">
        <v>705</v>
      </c>
      <c r="C219" s="2092" t="s">
        <v>812</v>
      </c>
      <c r="D219" s="2099" t="s">
        <v>847</v>
      </c>
    </row>
    <row r="220" spans="1:4" ht="18.75" x14ac:dyDescent="0.2">
      <c r="A220" s="2117" t="s">
        <v>408</v>
      </c>
      <c r="B220" s="2133" t="s">
        <v>705</v>
      </c>
      <c r="C220" s="2119" t="s">
        <v>936</v>
      </c>
      <c r="D220" s="2120" t="s">
        <v>937</v>
      </c>
    </row>
    <row r="221" spans="1:4" s="1900" customFormat="1" ht="56.25" x14ac:dyDescent="0.2">
      <c r="A221" s="2117" t="s">
        <v>408</v>
      </c>
      <c r="B221" s="2133" t="s">
        <v>705</v>
      </c>
      <c r="C221" s="2119" t="s">
        <v>1079</v>
      </c>
      <c r="D221" s="2120" t="s">
        <v>1080</v>
      </c>
    </row>
    <row r="222" spans="1:4" s="1900" customFormat="1" ht="18.75" x14ac:dyDescent="0.2">
      <c r="A222" s="2117" t="s">
        <v>408</v>
      </c>
      <c r="B222" s="2133" t="s">
        <v>705</v>
      </c>
      <c r="C222" s="2119" t="s">
        <v>1081</v>
      </c>
      <c r="D222" s="2134" t="s">
        <v>1082</v>
      </c>
    </row>
    <row r="223" spans="1:4" s="1900" customFormat="1" ht="18.75" x14ac:dyDescent="0.2">
      <c r="A223" s="2117" t="s">
        <v>408</v>
      </c>
      <c r="B223" s="2133" t="s">
        <v>705</v>
      </c>
      <c r="C223" s="2119" t="s">
        <v>1083</v>
      </c>
      <c r="D223" s="2134" t="s">
        <v>1082</v>
      </c>
    </row>
    <row r="224" spans="1:4" s="1900" customFormat="1" ht="300" x14ac:dyDescent="0.2">
      <c r="A224" s="2096" t="s">
        <v>409</v>
      </c>
      <c r="B224" s="2101" t="s">
        <v>705</v>
      </c>
      <c r="C224" s="2091" t="s">
        <v>712</v>
      </c>
      <c r="D224" s="2099" t="s">
        <v>1138</v>
      </c>
    </row>
    <row r="225" spans="1:4" s="1900" customFormat="1" ht="56.25" x14ac:dyDescent="0.2">
      <c r="A225" s="2096" t="s">
        <v>409</v>
      </c>
      <c r="B225" s="2101" t="s">
        <v>705</v>
      </c>
      <c r="C225" s="2091" t="s">
        <v>889</v>
      </c>
      <c r="D225" s="2099" t="s">
        <v>892</v>
      </c>
    </row>
    <row r="226" spans="1:4" s="1900" customFormat="1" ht="75" x14ac:dyDescent="0.2">
      <c r="A226" s="2096" t="s">
        <v>409</v>
      </c>
      <c r="B226" s="2101" t="s">
        <v>705</v>
      </c>
      <c r="C226" s="2091" t="s">
        <v>890</v>
      </c>
      <c r="D226" s="2099" t="s">
        <v>928</v>
      </c>
    </row>
    <row r="227" spans="1:4" ht="18.75" x14ac:dyDescent="0.2">
      <c r="A227" s="2096" t="s">
        <v>409</v>
      </c>
      <c r="B227" s="2101" t="s">
        <v>705</v>
      </c>
      <c r="C227" s="2091" t="s">
        <v>891</v>
      </c>
      <c r="D227" s="2099" t="s">
        <v>893</v>
      </c>
    </row>
    <row r="228" spans="1:4" s="1900" customFormat="1" ht="56.25" x14ac:dyDescent="0.2">
      <c r="A228" s="2096" t="s">
        <v>414</v>
      </c>
      <c r="B228" s="2101" t="s">
        <v>705</v>
      </c>
      <c r="C228" s="2092" t="s">
        <v>742</v>
      </c>
      <c r="D228" s="2099" t="s">
        <v>977</v>
      </c>
    </row>
    <row r="229" spans="1:4" ht="56.25" x14ac:dyDescent="0.2">
      <c r="A229" s="2096" t="s">
        <v>414</v>
      </c>
      <c r="B229" s="2101" t="s">
        <v>705</v>
      </c>
      <c r="C229" s="2092" t="s">
        <v>743</v>
      </c>
      <c r="D229" s="2099" t="s">
        <v>976</v>
      </c>
    </row>
    <row r="230" spans="1:4" s="1900" customFormat="1" ht="37.5" x14ac:dyDescent="0.2">
      <c r="A230" s="2096" t="s">
        <v>414</v>
      </c>
      <c r="B230" s="2101" t="s">
        <v>705</v>
      </c>
      <c r="C230" s="2092" t="s">
        <v>744</v>
      </c>
      <c r="D230" s="2099" t="s">
        <v>975</v>
      </c>
    </row>
    <row r="231" spans="1:4" s="1900" customFormat="1" ht="75" x14ac:dyDescent="0.2">
      <c r="A231" s="2096" t="s">
        <v>414</v>
      </c>
      <c r="B231" s="2101" t="s">
        <v>705</v>
      </c>
      <c r="C231" s="2092" t="s">
        <v>745</v>
      </c>
      <c r="D231" s="2099" t="s">
        <v>974</v>
      </c>
    </row>
    <row r="232" spans="1:4" s="1900" customFormat="1" ht="37.5" x14ac:dyDescent="0.3">
      <c r="A232" s="2096" t="s">
        <v>414</v>
      </c>
      <c r="B232" s="2101" t="s">
        <v>705</v>
      </c>
      <c r="C232" s="2092" t="s">
        <v>973</v>
      </c>
      <c r="D232" s="2115" t="s">
        <v>1161</v>
      </c>
    </row>
    <row r="233" spans="1:4" s="1900" customFormat="1" ht="75" x14ac:dyDescent="0.3">
      <c r="A233" s="2096" t="s">
        <v>414</v>
      </c>
      <c r="B233" s="2101" t="s">
        <v>705</v>
      </c>
      <c r="C233" s="2092" t="s">
        <v>1084</v>
      </c>
      <c r="D233" s="2115" t="s">
        <v>1085</v>
      </c>
    </row>
    <row r="234" spans="1:4" s="1900" customFormat="1" ht="18.75" x14ac:dyDescent="0.2">
      <c r="A234" s="2096" t="s">
        <v>102</v>
      </c>
      <c r="B234" s="2101" t="s">
        <v>705</v>
      </c>
      <c r="C234" s="2092" t="s">
        <v>817</v>
      </c>
      <c r="D234" s="2099" t="s">
        <v>882</v>
      </c>
    </row>
    <row r="235" spans="1:4" s="1900" customFormat="1" ht="37.5" x14ac:dyDescent="0.2">
      <c r="A235" s="2096" t="s">
        <v>100</v>
      </c>
      <c r="B235" s="2101" t="s">
        <v>705</v>
      </c>
      <c r="C235" s="2092" t="s">
        <v>777</v>
      </c>
      <c r="D235" s="2099" t="s">
        <v>985</v>
      </c>
    </row>
    <row r="236" spans="1:4" s="1900" customFormat="1" ht="37.5" x14ac:dyDescent="0.2">
      <c r="A236" s="2096" t="s">
        <v>100</v>
      </c>
      <c r="B236" s="2101" t="s">
        <v>705</v>
      </c>
      <c r="C236" s="2092" t="s">
        <v>778</v>
      </c>
      <c r="D236" s="2099" t="s">
        <v>984</v>
      </c>
    </row>
    <row r="237" spans="1:4" s="1900" customFormat="1" ht="56.25" x14ac:dyDescent="0.2">
      <c r="A237" s="2096" t="s">
        <v>100</v>
      </c>
      <c r="B237" s="2101" t="s">
        <v>705</v>
      </c>
      <c r="C237" s="2092" t="s">
        <v>978</v>
      </c>
      <c r="D237" s="2099" t="s">
        <v>986</v>
      </c>
    </row>
    <row r="238" spans="1:4" s="1900" customFormat="1" ht="18.75" x14ac:dyDescent="0.2">
      <c r="A238" s="2096" t="s">
        <v>100</v>
      </c>
      <c r="B238" s="2101" t="s">
        <v>705</v>
      </c>
      <c r="C238" s="2092" t="s">
        <v>979</v>
      </c>
      <c r="D238" s="2099" t="s">
        <v>854</v>
      </c>
    </row>
    <row r="239" spans="1:4" s="1900" customFormat="1" ht="18.75" x14ac:dyDescent="0.2">
      <c r="A239" s="2096" t="s">
        <v>100</v>
      </c>
      <c r="B239" s="2101" t="s">
        <v>705</v>
      </c>
      <c r="C239" s="2092" t="s">
        <v>980</v>
      </c>
      <c r="D239" s="2099" t="s">
        <v>854</v>
      </c>
    </row>
    <row r="240" spans="1:4" s="1900" customFormat="1" ht="18.75" x14ac:dyDescent="0.2">
      <c r="A240" s="2096" t="s">
        <v>100</v>
      </c>
      <c r="B240" s="2101" t="s">
        <v>705</v>
      </c>
      <c r="C240" s="2092" t="s">
        <v>981</v>
      </c>
      <c r="D240" s="2099" t="s">
        <v>854</v>
      </c>
    </row>
    <row r="241" spans="1:4" s="1900" customFormat="1" ht="18.75" x14ac:dyDescent="0.2">
      <c r="A241" s="2096" t="s">
        <v>100</v>
      </c>
      <c r="B241" s="2101" t="s">
        <v>705</v>
      </c>
      <c r="C241" s="2092" t="s">
        <v>982</v>
      </c>
      <c r="D241" s="2099" t="s">
        <v>854</v>
      </c>
    </row>
    <row r="242" spans="1:4" s="1900" customFormat="1" ht="18.75" x14ac:dyDescent="0.2">
      <c r="A242" s="2096" t="s">
        <v>100</v>
      </c>
      <c r="B242" s="2101" t="s">
        <v>705</v>
      </c>
      <c r="C242" s="2092" t="s">
        <v>983</v>
      </c>
      <c r="D242" s="2099" t="s">
        <v>854</v>
      </c>
    </row>
    <row r="243" spans="1:4" ht="93.75" x14ac:dyDescent="0.2">
      <c r="A243" s="2096" t="s">
        <v>99</v>
      </c>
      <c r="B243" s="2101" t="s">
        <v>705</v>
      </c>
      <c r="C243" s="2092" t="s">
        <v>775</v>
      </c>
      <c r="D243" s="2151" t="s">
        <v>1172</v>
      </c>
    </row>
    <row r="244" spans="1:4" s="1900" customFormat="1" ht="56.25" x14ac:dyDescent="0.2">
      <c r="A244" s="2096" t="s">
        <v>99</v>
      </c>
      <c r="B244" s="2101" t="s">
        <v>705</v>
      </c>
      <c r="C244" s="2092" t="s">
        <v>881</v>
      </c>
      <c r="D244" s="2151" t="s">
        <v>1173</v>
      </c>
    </row>
    <row r="245" spans="1:4" ht="112.5" x14ac:dyDescent="0.2">
      <c r="A245" s="2096" t="s">
        <v>99</v>
      </c>
      <c r="B245" s="2101" t="s">
        <v>705</v>
      </c>
      <c r="C245" s="2092" t="s">
        <v>776</v>
      </c>
      <c r="D245" s="2151" t="s">
        <v>1027</v>
      </c>
    </row>
    <row r="246" spans="1:4" s="1900" customFormat="1" ht="37.5" x14ac:dyDescent="0.2">
      <c r="A246" s="2096" t="s">
        <v>99</v>
      </c>
      <c r="B246" s="2101" t="s">
        <v>705</v>
      </c>
      <c r="C246" s="2107" t="s">
        <v>1028</v>
      </c>
      <c r="D246" s="2108" t="s">
        <v>1031</v>
      </c>
    </row>
    <row r="247" spans="1:4" ht="37.5" x14ac:dyDescent="0.2">
      <c r="A247" s="2096" t="s">
        <v>99</v>
      </c>
      <c r="B247" s="2101" t="s">
        <v>705</v>
      </c>
      <c r="C247" s="2107" t="s">
        <v>1029</v>
      </c>
      <c r="D247" s="2108" t="s">
        <v>1030</v>
      </c>
    </row>
    <row r="248" spans="1:4" ht="56.25" x14ac:dyDescent="0.2">
      <c r="A248" s="2096" t="s">
        <v>406</v>
      </c>
      <c r="B248" s="2101" t="s">
        <v>705</v>
      </c>
      <c r="C248" s="2092" t="s">
        <v>779</v>
      </c>
      <c r="D248" s="2099" t="s">
        <v>1052</v>
      </c>
    </row>
    <row r="249" spans="1:4" s="1900" customFormat="1" ht="37.5" x14ac:dyDescent="0.2">
      <c r="A249" s="2096" t="s">
        <v>406</v>
      </c>
      <c r="B249" s="2101" t="s">
        <v>705</v>
      </c>
      <c r="C249" s="2092" t="s">
        <v>1196</v>
      </c>
      <c r="D249" s="2099" t="s">
        <v>1199</v>
      </c>
    </row>
    <row r="250" spans="1:4" s="1900" customFormat="1" ht="37.5" x14ac:dyDescent="0.2">
      <c r="A250" s="2096" t="s">
        <v>406</v>
      </c>
      <c r="B250" s="2101" t="s">
        <v>705</v>
      </c>
      <c r="C250" s="2092" t="s">
        <v>1197</v>
      </c>
      <c r="D250" s="2099" t="s">
        <v>1198</v>
      </c>
    </row>
    <row r="251" spans="1:4" s="1900" customFormat="1" ht="93.75" x14ac:dyDescent="0.2">
      <c r="A251" s="2096" t="s">
        <v>405</v>
      </c>
      <c r="B251" s="2101" t="s">
        <v>705</v>
      </c>
      <c r="C251" s="2092" t="s">
        <v>938</v>
      </c>
      <c r="D251" s="2099" t="s">
        <v>1158</v>
      </c>
    </row>
    <row r="252" spans="1:4" s="1900" customFormat="1" ht="18.75" x14ac:dyDescent="0.2">
      <c r="A252" s="2096" t="s">
        <v>405</v>
      </c>
      <c r="B252" s="2101" t="s">
        <v>705</v>
      </c>
      <c r="C252" s="2092" t="s">
        <v>1033</v>
      </c>
      <c r="D252" s="2099" t="s">
        <v>1034</v>
      </c>
    </row>
    <row r="253" spans="1:4" s="1900" customFormat="1" ht="18.75" x14ac:dyDescent="0.2">
      <c r="A253" s="2096" t="s">
        <v>405</v>
      </c>
      <c r="B253" s="2101" t="s">
        <v>705</v>
      </c>
      <c r="C253" s="2121" t="s">
        <v>1159</v>
      </c>
      <c r="D253" s="2121" t="s">
        <v>1160</v>
      </c>
    </row>
    <row r="254" spans="1:4" s="1900" customFormat="1" ht="37.5" x14ac:dyDescent="0.2">
      <c r="A254" s="2096" t="s">
        <v>508</v>
      </c>
      <c r="B254" s="2101" t="s">
        <v>705</v>
      </c>
      <c r="C254" s="2092" t="s">
        <v>770</v>
      </c>
      <c r="D254" s="2130" t="s">
        <v>1166</v>
      </c>
    </row>
    <row r="255" spans="1:4" s="1900" customFormat="1" ht="37.5" x14ac:dyDescent="0.2">
      <c r="A255" s="2096" t="s">
        <v>508</v>
      </c>
      <c r="B255" s="2101" t="s">
        <v>705</v>
      </c>
      <c r="C255" s="2092" t="s">
        <v>768</v>
      </c>
      <c r="D255" s="2099" t="s">
        <v>1124</v>
      </c>
    </row>
    <row r="256" spans="1:4" s="1900" customFormat="1" ht="37.5" x14ac:dyDescent="0.2">
      <c r="A256" s="2096" t="s">
        <v>508</v>
      </c>
      <c r="B256" s="2101" t="s">
        <v>705</v>
      </c>
      <c r="C256" s="2092" t="s">
        <v>769</v>
      </c>
      <c r="D256" s="2099" t="s">
        <v>1124</v>
      </c>
    </row>
    <row r="257" spans="1:4" s="1900" customFormat="1" ht="56.25" x14ac:dyDescent="0.2">
      <c r="A257" s="2096" t="s">
        <v>924</v>
      </c>
      <c r="B257" s="2104" t="s">
        <v>706</v>
      </c>
      <c r="C257" s="2092" t="s">
        <v>746</v>
      </c>
      <c r="D257" s="2099" t="s">
        <v>940</v>
      </c>
    </row>
    <row r="258" spans="1:4" s="1900" customFormat="1" ht="37.5" x14ac:dyDescent="0.2">
      <c r="A258" s="2096" t="s">
        <v>924</v>
      </c>
      <c r="B258" s="2104" t="s">
        <v>706</v>
      </c>
      <c r="C258" s="2092" t="s">
        <v>747</v>
      </c>
      <c r="D258" s="2099" t="s">
        <v>949</v>
      </c>
    </row>
    <row r="259" spans="1:4" s="1900" customFormat="1" ht="37.5" x14ac:dyDescent="0.2">
      <c r="A259" s="2096" t="s">
        <v>924</v>
      </c>
      <c r="B259" s="2104" t="s">
        <v>706</v>
      </c>
      <c r="C259" s="2092" t="s">
        <v>946</v>
      </c>
      <c r="D259" s="2099" t="s">
        <v>943</v>
      </c>
    </row>
    <row r="260" spans="1:4" s="1900" customFormat="1" ht="37.5" x14ac:dyDescent="0.2">
      <c r="A260" s="2096" t="s">
        <v>924</v>
      </c>
      <c r="B260" s="2104" t="s">
        <v>706</v>
      </c>
      <c r="C260" s="2092" t="s">
        <v>941</v>
      </c>
      <c r="D260" s="2099" t="s">
        <v>943</v>
      </c>
    </row>
    <row r="261" spans="1:4" s="1900" customFormat="1" ht="37.5" x14ac:dyDescent="0.2">
      <c r="A261" s="2096" t="s">
        <v>924</v>
      </c>
      <c r="B261" s="2104" t="s">
        <v>706</v>
      </c>
      <c r="C261" s="2154" t="s">
        <v>942</v>
      </c>
      <c r="D261" s="2099" t="s">
        <v>943</v>
      </c>
    </row>
    <row r="262" spans="1:4" ht="37.5" x14ac:dyDescent="0.2">
      <c r="A262" s="2096" t="s">
        <v>924</v>
      </c>
      <c r="B262" s="2104" t="s">
        <v>706</v>
      </c>
      <c r="C262" s="2092" t="s">
        <v>950</v>
      </c>
      <c r="D262" s="2099" t="s">
        <v>943</v>
      </c>
    </row>
    <row r="263" spans="1:4" ht="37.5" x14ac:dyDescent="0.2">
      <c r="A263" s="2096" t="s">
        <v>924</v>
      </c>
      <c r="B263" s="2104" t="s">
        <v>706</v>
      </c>
      <c r="C263" s="2092" t="s">
        <v>947</v>
      </c>
      <c r="D263" s="2099" t="s">
        <v>943</v>
      </c>
    </row>
    <row r="264" spans="1:4" s="1900" customFormat="1" ht="37.5" x14ac:dyDescent="0.2">
      <c r="A264" s="2096" t="s">
        <v>924</v>
      </c>
      <c r="B264" s="2104" t="s">
        <v>706</v>
      </c>
      <c r="C264" s="2092" t="s">
        <v>748</v>
      </c>
      <c r="D264" s="2099" t="s">
        <v>949</v>
      </c>
    </row>
    <row r="265" spans="1:4" s="1900" customFormat="1" ht="75" x14ac:dyDescent="0.2">
      <c r="A265" s="2096" t="s">
        <v>924</v>
      </c>
      <c r="B265" s="2104" t="s">
        <v>706</v>
      </c>
      <c r="C265" s="2092" t="s">
        <v>780</v>
      </c>
      <c r="D265" s="2099" t="s">
        <v>996</v>
      </c>
    </row>
    <row r="266" spans="1:4" s="1900" customFormat="1" ht="37.5" x14ac:dyDescent="0.2">
      <c r="A266" s="2096" t="s">
        <v>924</v>
      </c>
      <c r="B266" s="2104" t="s">
        <v>706</v>
      </c>
      <c r="C266" s="2092" t="s">
        <v>951</v>
      </c>
      <c r="D266" s="2099" t="s">
        <v>943</v>
      </c>
    </row>
    <row r="267" spans="1:4" s="1900" customFormat="1" ht="37.5" x14ac:dyDescent="0.2">
      <c r="A267" s="2096" t="s">
        <v>924</v>
      </c>
      <c r="B267" s="2104" t="s">
        <v>706</v>
      </c>
      <c r="C267" s="2092" t="s">
        <v>944</v>
      </c>
      <c r="D267" s="2099" t="s">
        <v>943</v>
      </c>
    </row>
    <row r="268" spans="1:4" s="1900" customFormat="1" ht="75" x14ac:dyDescent="0.2">
      <c r="A268" s="2096" t="s">
        <v>924</v>
      </c>
      <c r="B268" s="2104" t="s">
        <v>706</v>
      </c>
      <c r="C268" s="2092" t="s">
        <v>781</v>
      </c>
      <c r="D268" s="2099" t="s">
        <v>952</v>
      </c>
    </row>
    <row r="269" spans="1:4" s="1900" customFormat="1" ht="37.5" x14ac:dyDescent="0.2">
      <c r="A269" s="2096" t="s">
        <v>924</v>
      </c>
      <c r="B269" s="2104" t="s">
        <v>706</v>
      </c>
      <c r="C269" s="2092" t="s">
        <v>945</v>
      </c>
      <c r="D269" s="2099" t="s">
        <v>948</v>
      </c>
    </row>
    <row r="270" spans="1:4" s="1900" customFormat="1" ht="37.5" x14ac:dyDescent="0.2">
      <c r="A270" s="2096" t="s">
        <v>105</v>
      </c>
      <c r="B270" s="2104" t="s">
        <v>706</v>
      </c>
      <c r="C270" s="2092" t="s">
        <v>1139</v>
      </c>
      <c r="D270" s="2099" t="s">
        <v>963</v>
      </c>
    </row>
    <row r="271" spans="1:4" s="1900" customFormat="1" ht="37.5" x14ac:dyDescent="0.2">
      <c r="A271" s="2096" t="s">
        <v>105</v>
      </c>
      <c r="B271" s="2104" t="s">
        <v>706</v>
      </c>
      <c r="C271" s="2092" t="s">
        <v>1140</v>
      </c>
      <c r="D271" s="2099" t="s">
        <v>963</v>
      </c>
    </row>
    <row r="272" spans="1:4" ht="37.5" x14ac:dyDescent="0.2">
      <c r="A272" s="2096" t="s">
        <v>105</v>
      </c>
      <c r="B272" s="2104" t="s">
        <v>706</v>
      </c>
      <c r="C272" s="2092" t="s">
        <v>1141</v>
      </c>
      <c r="D272" s="2099" t="s">
        <v>963</v>
      </c>
    </row>
    <row r="273" spans="1:4" s="1900" customFormat="1" ht="37.5" x14ac:dyDescent="0.2">
      <c r="A273" s="2096" t="s">
        <v>105</v>
      </c>
      <c r="B273" s="2104" t="s">
        <v>706</v>
      </c>
      <c r="C273" s="2092" t="s">
        <v>1142</v>
      </c>
      <c r="D273" s="2099" t="s">
        <v>963</v>
      </c>
    </row>
    <row r="274" spans="1:4" ht="37.5" x14ac:dyDescent="0.2">
      <c r="A274" s="2096" t="s">
        <v>105</v>
      </c>
      <c r="B274" s="2104" t="s">
        <v>706</v>
      </c>
      <c r="C274" s="2092" t="s">
        <v>1143</v>
      </c>
      <c r="D274" s="2099" t="s">
        <v>963</v>
      </c>
    </row>
    <row r="275" spans="1:4" s="1900" customFormat="1" ht="37.5" x14ac:dyDescent="0.2">
      <c r="A275" s="2096" t="s">
        <v>105</v>
      </c>
      <c r="B275" s="2104" t="s">
        <v>706</v>
      </c>
      <c r="C275" s="2092" t="s">
        <v>1144</v>
      </c>
      <c r="D275" s="2099" t="s">
        <v>963</v>
      </c>
    </row>
    <row r="276" spans="1:4" ht="37.5" x14ac:dyDescent="0.2">
      <c r="A276" s="2096" t="s">
        <v>105</v>
      </c>
      <c r="B276" s="2104" t="s">
        <v>706</v>
      </c>
      <c r="C276" s="2092" t="s">
        <v>1145</v>
      </c>
      <c r="D276" s="2099" t="s">
        <v>963</v>
      </c>
    </row>
    <row r="277" spans="1:4" ht="37.5" x14ac:dyDescent="0.2">
      <c r="A277" s="2096" t="s">
        <v>105</v>
      </c>
      <c r="B277" s="2104" t="s">
        <v>706</v>
      </c>
      <c r="C277" s="2092" t="s">
        <v>1146</v>
      </c>
      <c r="D277" s="2099" t="s">
        <v>963</v>
      </c>
    </row>
    <row r="278" spans="1:4" s="1900" customFormat="1" ht="37.5" x14ac:dyDescent="0.2">
      <c r="A278" s="2096" t="s">
        <v>105</v>
      </c>
      <c r="B278" s="2104" t="s">
        <v>706</v>
      </c>
      <c r="C278" s="2092" t="s">
        <v>1147</v>
      </c>
      <c r="D278" s="2099" t="s">
        <v>963</v>
      </c>
    </row>
    <row r="279" spans="1:4" s="1900" customFormat="1" ht="37.5" x14ac:dyDescent="0.2">
      <c r="A279" s="2096" t="s">
        <v>105</v>
      </c>
      <c r="B279" s="2104" t="s">
        <v>706</v>
      </c>
      <c r="C279" s="2092" t="s">
        <v>1148</v>
      </c>
      <c r="D279" s="2099" t="s">
        <v>963</v>
      </c>
    </row>
    <row r="280" spans="1:4" ht="37.5" x14ac:dyDescent="0.2">
      <c r="A280" s="2096" t="s">
        <v>103</v>
      </c>
      <c r="B280" s="2104" t="s">
        <v>706</v>
      </c>
      <c r="C280" s="2092" t="s">
        <v>954</v>
      </c>
      <c r="D280" s="2099" t="s">
        <v>963</v>
      </c>
    </row>
    <row r="281" spans="1:4" ht="37.5" x14ac:dyDescent="0.2">
      <c r="A281" s="2096" t="s">
        <v>103</v>
      </c>
      <c r="B281" s="2104" t="s">
        <v>706</v>
      </c>
      <c r="C281" s="2092" t="s">
        <v>955</v>
      </c>
      <c r="D281" s="2099" t="s">
        <v>963</v>
      </c>
    </row>
    <row r="282" spans="1:4" ht="37.5" x14ac:dyDescent="0.2">
      <c r="A282" s="2096" t="s">
        <v>103</v>
      </c>
      <c r="B282" s="2104" t="s">
        <v>706</v>
      </c>
      <c r="C282" s="2092" t="s">
        <v>956</v>
      </c>
      <c r="D282" s="2099" t="s">
        <v>963</v>
      </c>
    </row>
    <row r="283" spans="1:4" s="1900" customFormat="1" ht="37.5" x14ac:dyDescent="0.2">
      <c r="A283" s="2096" t="s">
        <v>103</v>
      </c>
      <c r="B283" s="2104" t="s">
        <v>706</v>
      </c>
      <c r="C283" s="2092" t="s">
        <v>957</v>
      </c>
      <c r="D283" s="2099" t="s">
        <v>963</v>
      </c>
    </row>
    <row r="284" spans="1:4" s="1900" customFormat="1" ht="37.5" x14ac:dyDescent="0.2">
      <c r="A284" s="2096" t="s">
        <v>924</v>
      </c>
      <c r="B284" s="2104" t="s">
        <v>706</v>
      </c>
      <c r="C284" s="2092" t="s">
        <v>958</v>
      </c>
      <c r="D284" s="2099" t="s">
        <v>963</v>
      </c>
    </row>
    <row r="285" spans="1:4" s="1900" customFormat="1" ht="37.5" x14ac:dyDescent="0.2">
      <c r="A285" s="2096" t="s">
        <v>103</v>
      </c>
      <c r="B285" s="2104" t="s">
        <v>706</v>
      </c>
      <c r="C285" s="2092" t="s">
        <v>782</v>
      </c>
      <c r="D285" s="2099" t="s">
        <v>963</v>
      </c>
    </row>
    <row r="286" spans="1:4" s="1900" customFormat="1" ht="37.5" x14ac:dyDescent="0.2">
      <c r="A286" s="2096" t="s">
        <v>103</v>
      </c>
      <c r="B286" s="2104" t="s">
        <v>706</v>
      </c>
      <c r="C286" s="2092" t="s">
        <v>959</v>
      </c>
      <c r="D286" s="2099" t="s">
        <v>963</v>
      </c>
    </row>
    <row r="287" spans="1:4" s="1900" customFormat="1" ht="37.5" x14ac:dyDescent="0.2">
      <c r="A287" s="2096" t="s">
        <v>103</v>
      </c>
      <c r="B287" s="2104" t="s">
        <v>706</v>
      </c>
      <c r="C287" s="2092" t="s">
        <v>960</v>
      </c>
      <c r="D287" s="2099" t="s">
        <v>963</v>
      </c>
    </row>
    <row r="288" spans="1:4" s="1900" customFormat="1" ht="37.5" x14ac:dyDescent="0.2">
      <c r="A288" s="2096" t="s">
        <v>103</v>
      </c>
      <c r="B288" s="2104" t="s">
        <v>706</v>
      </c>
      <c r="C288" s="2092" t="s">
        <v>961</v>
      </c>
      <c r="D288" s="2099" t="s">
        <v>963</v>
      </c>
    </row>
    <row r="289" spans="1:17" ht="37.5" x14ac:dyDescent="0.2">
      <c r="A289" s="2096" t="s">
        <v>103</v>
      </c>
      <c r="B289" s="2104" t="s">
        <v>706</v>
      </c>
      <c r="C289" s="2092" t="s">
        <v>962</v>
      </c>
      <c r="D289" s="2099" t="s">
        <v>963</v>
      </c>
    </row>
    <row r="290" spans="1:17" s="1900" customFormat="1" ht="75" x14ac:dyDescent="0.2">
      <c r="A290" s="2096" t="s">
        <v>103</v>
      </c>
      <c r="B290" s="2104" t="s">
        <v>706</v>
      </c>
      <c r="C290" s="2092" t="s">
        <v>767</v>
      </c>
      <c r="D290" s="2139" t="s">
        <v>953</v>
      </c>
    </row>
    <row r="291" spans="1:17" s="1900" customFormat="1" ht="75" x14ac:dyDescent="0.2">
      <c r="A291" s="2096" t="s">
        <v>97</v>
      </c>
      <c r="B291" s="2106" t="s">
        <v>708</v>
      </c>
      <c r="C291" s="2092" t="s">
        <v>787</v>
      </c>
      <c r="D291" s="2139" t="s">
        <v>894</v>
      </c>
    </row>
    <row r="292" spans="1:17" s="1900" customFormat="1" ht="18.75" x14ac:dyDescent="0.2">
      <c r="A292" s="2096" t="s">
        <v>97</v>
      </c>
      <c r="B292" s="2106" t="s">
        <v>708</v>
      </c>
      <c r="C292" s="2092" t="s">
        <v>788</v>
      </c>
      <c r="D292" s="2139" t="s">
        <v>854</v>
      </c>
    </row>
    <row r="293" spans="1:17" s="1900" customFormat="1" ht="37.5" x14ac:dyDescent="0.2">
      <c r="A293" s="2096" t="s">
        <v>97</v>
      </c>
      <c r="B293" s="2106" t="s">
        <v>708</v>
      </c>
      <c r="C293" s="2092" t="s">
        <v>789</v>
      </c>
      <c r="D293" s="2139" t="s">
        <v>855</v>
      </c>
    </row>
    <row r="294" spans="1:17" s="1900" customFormat="1" ht="18.75" x14ac:dyDescent="0.2">
      <c r="A294" s="2096" t="s">
        <v>97</v>
      </c>
      <c r="B294" s="2106" t="s">
        <v>708</v>
      </c>
      <c r="C294" s="2092" t="s">
        <v>790</v>
      </c>
      <c r="D294" s="2139" t="s">
        <v>854</v>
      </c>
    </row>
    <row r="295" spans="1:17" s="1900" customFormat="1" ht="19.5" thickBot="1" x14ac:dyDescent="0.25">
      <c r="A295" s="2096" t="s">
        <v>97</v>
      </c>
      <c r="B295" s="2106" t="s">
        <v>708</v>
      </c>
      <c r="C295" s="2140" t="s">
        <v>791</v>
      </c>
      <c r="D295" s="2141" t="s">
        <v>854</v>
      </c>
    </row>
    <row r="296" spans="1:17" ht="18.75" x14ac:dyDescent="0.2">
      <c r="A296" s="2096" t="s">
        <v>97</v>
      </c>
      <c r="B296" s="2106" t="s">
        <v>708</v>
      </c>
      <c r="C296" s="2092" t="s">
        <v>792</v>
      </c>
      <c r="D296" s="2099" t="s">
        <v>854</v>
      </c>
    </row>
    <row r="297" spans="1:17" s="1900" customFormat="1" ht="18.75" x14ac:dyDescent="0.2">
      <c r="A297" s="2096" t="s">
        <v>97</v>
      </c>
      <c r="B297" s="2106" t="s">
        <v>708</v>
      </c>
      <c r="C297" s="2092" t="s">
        <v>793</v>
      </c>
      <c r="D297" s="2099" t="s">
        <v>854</v>
      </c>
    </row>
    <row r="298" spans="1:17" s="767" customFormat="1" ht="18.75" x14ac:dyDescent="0.2">
      <c r="A298" s="2096" t="s">
        <v>101</v>
      </c>
      <c r="B298" s="2106" t="s">
        <v>708</v>
      </c>
      <c r="C298" s="2092" t="s">
        <v>818</v>
      </c>
      <c r="D298" s="2099" t="s">
        <v>919</v>
      </c>
    </row>
    <row r="299" spans="1:17" s="1900" customFormat="1" ht="18.75" x14ac:dyDescent="0.2">
      <c r="A299" s="2096" t="s">
        <v>101</v>
      </c>
      <c r="B299" s="2106" t="s">
        <v>708</v>
      </c>
      <c r="C299" s="2092" t="s">
        <v>895</v>
      </c>
      <c r="D299" s="2099" t="s">
        <v>920</v>
      </c>
    </row>
    <row r="300" spans="1:17" ht="112.5" x14ac:dyDescent="0.2">
      <c r="A300" s="2096" t="s">
        <v>379</v>
      </c>
      <c r="B300" s="2135" t="s">
        <v>709</v>
      </c>
      <c r="C300" s="2092" t="s">
        <v>754</v>
      </c>
      <c r="D300" s="2099" t="s">
        <v>1026</v>
      </c>
    </row>
    <row r="301" spans="1:17" s="1900" customFormat="1" ht="75" x14ac:dyDescent="0.2">
      <c r="A301" s="2096" t="s">
        <v>379</v>
      </c>
      <c r="B301" s="2135" t="s">
        <v>709</v>
      </c>
      <c r="C301" s="2092" t="s">
        <v>755</v>
      </c>
      <c r="D301" s="2099" t="s">
        <v>1008</v>
      </c>
    </row>
    <row r="302" spans="1:17" s="1900" customFormat="1" ht="18.75" x14ac:dyDescent="0.2">
      <c r="A302" s="2096" t="s">
        <v>380</v>
      </c>
      <c r="B302" s="2135" t="s">
        <v>709</v>
      </c>
      <c r="C302" s="2092"/>
      <c r="D302" s="2158"/>
    </row>
    <row r="303" spans="1:17" ht="56.25" x14ac:dyDescent="0.2">
      <c r="A303" s="2096" t="s">
        <v>391</v>
      </c>
      <c r="B303" s="2135" t="s">
        <v>709</v>
      </c>
      <c r="C303" s="2092" t="s">
        <v>822</v>
      </c>
      <c r="D303" s="2099" t="s">
        <v>856</v>
      </c>
      <c r="E303" s="372"/>
      <c r="F303" s="372"/>
      <c r="G303" s="372"/>
      <c r="H303" s="372"/>
      <c r="I303" s="372"/>
      <c r="J303" s="372"/>
      <c r="K303" s="372"/>
      <c r="L303" s="372"/>
      <c r="M303" s="372"/>
      <c r="N303" s="372"/>
      <c r="O303" s="372"/>
      <c r="P303" s="372"/>
      <c r="Q303" s="372"/>
    </row>
    <row r="304" spans="1:17" s="1900" customFormat="1" ht="18.75" x14ac:dyDescent="0.2">
      <c r="A304" s="2096" t="s">
        <v>391</v>
      </c>
      <c r="B304" s="2135" t="s">
        <v>709</v>
      </c>
      <c r="C304" s="2092" t="s">
        <v>821</v>
      </c>
      <c r="D304" s="2099" t="s">
        <v>857</v>
      </c>
      <c r="E304" s="372"/>
      <c r="F304" s="372"/>
      <c r="G304" s="372"/>
      <c r="H304" s="372"/>
      <c r="I304" s="372"/>
      <c r="J304" s="372"/>
      <c r="K304" s="372"/>
      <c r="L304" s="372"/>
      <c r="M304" s="372"/>
      <c r="N304" s="372"/>
      <c r="O304" s="372"/>
      <c r="P304" s="372"/>
      <c r="Q304" s="372"/>
    </row>
    <row r="305" spans="1:17" s="1900" customFormat="1" ht="37.5" x14ac:dyDescent="0.2">
      <c r="A305" s="2096" t="s">
        <v>113</v>
      </c>
      <c r="B305" s="2135" t="s">
        <v>709</v>
      </c>
      <c r="C305" s="2092" t="s">
        <v>749</v>
      </c>
      <c r="D305" s="2099" t="s">
        <v>1015</v>
      </c>
      <c r="E305" s="372"/>
      <c r="F305" s="372"/>
      <c r="G305" s="372"/>
      <c r="H305" s="372"/>
      <c r="I305" s="372"/>
      <c r="J305" s="372"/>
      <c r="K305" s="372"/>
      <c r="L305" s="372"/>
      <c r="M305" s="372"/>
      <c r="N305" s="372"/>
      <c r="O305" s="372"/>
      <c r="P305" s="372"/>
      <c r="Q305" s="372"/>
    </row>
    <row r="306" spans="1:17" s="1900" customFormat="1" ht="18.75" x14ac:dyDescent="0.2">
      <c r="A306" s="2136" t="s">
        <v>113</v>
      </c>
      <c r="B306" s="2137" t="s">
        <v>709</v>
      </c>
      <c r="C306" s="2092" t="s">
        <v>1014</v>
      </c>
      <c r="D306" s="2099" t="s">
        <v>1016</v>
      </c>
      <c r="E306" s="372"/>
      <c r="F306" s="372"/>
      <c r="G306" s="372"/>
      <c r="H306" s="372"/>
      <c r="I306" s="372"/>
      <c r="J306" s="372"/>
      <c r="K306" s="372"/>
      <c r="L306" s="372"/>
      <c r="M306" s="372"/>
      <c r="N306" s="372"/>
      <c r="O306" s="372"/>
      <c r="P306" s="372"/>
      <c r="Q306" s="372"/>
    </row>
    <row r="307" spans="1:17" s="1900" customFormat="1" ht="37.5" x14ac:dyDescent="0.2">
      <c r="A307" s="2096" t="s">
        <v>113</v>
      </c>
      <c r="B307" s="2135" t="s">
        <v>709</v>
      </c>
      <c r="C307" s="2092" t="s">
        <v>750</v>
      </c>
      <c r="D307" s="2099" t="s">
        <v>902</v>
      </c>
      <c r="E307" s="372"/>
      <c r="F307" s="372"/>
      <c r="G307" s="372"/>
      <c r="H307" s="372"/>
      <c r="I307" s="372"/>
      <c r="J307" s="372"/>
      <c r="K307" s="372"/>
      <c r="L307" s="372"/>
      <c r="M307" s="372"/>
      <c r="N307" s="372"/>
      <c r="O307" s="372"/>
      <c r="P307" s="372"/>
      <c r="Q307" s="372"/>
    </row>
    <row r="308" spans="1:17" s="1900" customFormat="1" ht="18.75" x14ac:dyDescent="0.2">
      <c r="A308" s="2096" t="s">
        <v>104</v>
      </c>
      <c r="B308" s="2135" t="s">
        <v>709</v>
      </c>
      <c r="C308" s="2092" t="s">
        <v>1009</v>
      </c>
      <c r="D308" s="2099" t="s">
        <v>1010</v>
      </c>
      <c r="E308" s="372"/>
      <c r="F308" s="372"/>
      <c r="G308" s="372"/>
      <c r="H308" s="372"/>
      <c r="I308" s="372"/>
      <c r="J308" s="372"/>
      <c r="K308" s="372"/>
      <c r="L308" s="372"/>
      <c r="M308" s="372"/>
      <c r="N308" s="372"/>
      <c r="O308" s="372"/>
      <c r="P308" s="372"/>
      <c r="Q308" s="372"/>
    </row>
    <row r="309" spans="1:17" s="1900" customFormat="1" ht="18.75" x14ac:dyDescent="0.2">
      <c r="A309" s="2096" t="s">
        <v>115</v>
      </c>
      <c r="B309" s="2105" t="s">
        <v>117</v>
      </c>
      <c r="C309" s="2092"/>
      <c r="D309" s="2099"/>
      <c r="E309" s="372"/>
      <c r="F309" s="372"/>
      <c r="G309" s="372"/>
      <c r="H309" s="372"/>
      <c r="I309" s="372"/>
      <c r="J309" s="372"/>
      <c r="K309" s="372"/>
      <c r="L309" s="372"/>
      <c r="M309" s="372"/>
      <c r="N309" s="372"/>
      <c r="O309" s="372"/>
      <c r="P309" s="372"/>
      <c r="Q309" s="372"/>
    </row>
    <row r="310" spans="1:17" ht="56.25" x14ac:dyDescent="0.2">
      <c r="A310" s="2096" t="s">
        <v>116</v>
      </c>
      <c r="B310" s="2105" t="s">
        <v>117</v>
      </c>
      <c r="C310" s="2092" t="s">
        <v>825</v>
      </c>
      <c r="D310" s="2099" t="s">
        <v>863</v>
      </c>
    </row>
    <row r="311" spans="1:17" ht="37.5" x14ac:dyDescent="0.2">
      <c r="A311" s="2096" t="s">
        <v>116</v>
      </c>
      <c r="B311" s="2105" t="s">
        <v>117</v>
      </c>
      <c r="C311" s="2092" t="s">
        <v>888</v>
      </c>
      <c r="D311" s="2120" t="s">
        <v>1181</v>
      </c>
      <c r="E311" s="372"/>
    </row>
  </sheetData>
  <autoFilter ref="A9:D311">
    <sortState ref="A10:D311">
      <sortCondition ref="B10"/>
    </sortState>
  </autoFilter>
  <mergeCells count="1">
    <mergeCell ref="A4:D4"/>
  </mergeCells>
  <conditionalFormatting sqref="B276:B280 B272:B274">
    <cfRule type="colorScale" priority="9">
      <colorScale>
        <cfvo type="min"/>
        <cfvo type="max"/>
        <color theme="4" tint="0.79998168889431442"/>
        <color theme="4" tint="0.39997558519241921"/>
      </colorScale>
    </cfRule>
  </conditionalFormatting>
  <conditionalFormatting sqref="B275">
    <cfRule type="colorScale" priority="2">
      <colorScale>
        <cfvo type="min"/>
        <cfvo type="max"/>
        <color theme="4" tint="0.79998168889431442"/>
        <color theme="4" tint="0.39997558519241921"/>
      </colorScale>
    </cfRule>
  </conditionalFormatting>
  <pageMargins left="0.23622047244094491" right="0.23622047244094491" top="0.74803149606299213" bottom="0.74803149606299213" header="0.31496062992125984" footer="0.31496062992125984"/>
  <pageSetup paperSize="9" scale="5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0.79998168889431442"/>
  </sheetPr>
  <dimension ref="A1:AQ152"/>
  <sheetViews>
    <sheetView topLeftCell="A4" zoomScale="80" zoomScaleNormal="80" workbookViewId="0">
      <selection activeCell="H18" sqref="H18"/>
    </sheetView>
  </sheetViews>
  <sheetFormatPr defaultColWidth="9.140625" defaultRowHeight="14.25" x14ac:dyDescent="0.2"/>
  <cols>
    <col min="1" max="1" width="50.7109375" style="31" customWidth="1"/>
    <col min="2" max="2" width="16.7109375" style="182" customWidth="1"/>
    <col min="3" max="3" width="8" style="182" customWidth="1"/>
    <col min="4" max="4" width="22.5703125" style="182" customWidth="1"/>
    <col min="5" max="5" width="25.140625" style="182" customWidth="1"/>
    <col min="6" max="7" width="14.42578125" style="182" customWidth="1"/>
    <col min="8" max="8" width="27.85546875" style="182" customWidth="1"/>
    <col min="9" max="9" width="14.42578125" style="182" customWidth="1"/>
    <col min="10" max="10" width="25.28515625" style="182" customWidth="1"/>
    <col min="11" max="11" width="25.140625" style="182" customWidth="1"/>
    <col min="12" max="12" width="11.7109375" style="182" customWidth="1"/>
    <col min="13" max="13" width="27.85546875" style="182" customWidth="1"/>
    <col min="14" max="14" width="17.140625" style="182" customWidth="1"/>
    <col min="15" max="15" width="11.7109375" style="182" customWidth="1"/>
    <col min="16" max="16" width="8.7109375" style="182" customWidth="1"/>
    <col min="17" max="17" width="12.140625" style="182" customWidth="1"/>
    <col min="18" max="18" width="12.5703125" style="182" customWidth="1"/>
    <col min="19" max="21" width="9.140625" style="182"/>
    <col min="22" max="22" width="2.5703125" style="402" customWidth="1"/>
    <col min="23" max="24" width="9.140625" style="182"/>
    <col min="25" max="25" width="22" style="182" customWidth="1"/>
    <col min="26" max="26" width="10.140625" style="182" customWidth="1"/>
    <col min="27" max="27" width="10.5703125" style="182" customWidth="1"/>
    <col min="28" max="16384" width="9.140625" style="182"/>
  </cols>
  <sheetData>
    <row r="1" spans="1:25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257"/>
      <c r="E1" s="257"/>
      <c r="F1" s="257"/>
      <c r="G1" s="257"/>
      <c r="H1" s="257"/>
      <c r="I1" s="257"/>
      <c r="J1" s="257"/>
      <c r="K1" s="674"/>
      <c r="L1" s="674"/>
      <c r="M1" s="675"/>
      <c r="N1" s="675"/>
      <c r="O1" s="675"/>
      <c r="P1" s="675"/>
      <c r="Q1" s="181"/>
      <c r="W1" s="182">
        <v>182</v>
      </c>
      <c r="X1" s="182">
        <v>183</v>
      </c>
      <c r="Y1" s="711">
        <v>184</v>
      </c>
    </row>
    <row r="2" spans="1:25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</row>
    <row r="3" spans="1:25" hidden="1" x14ac:dyDescent="0.2">
      <c r="A3" s="182"/>
    </row>
    <row r="4" spans="1:25" s="293" customFormat="1" x14ac:dyDescent="0.2">
      <c r="V4" s="402"/>
    </row>
    <row r="5" spans="1:25" ht="22.5" x14ac:dyDescent="0.3">
      <c r="A5" s="209" t="s">
        <v>476</v>
      </c>
      <c r="G5" s="677"/>
      <c r="H5" s="257"/>
      <c r="I5" s="675"/>
      <c r="J5" s="678"/>
      <c r="K5" s="183"/>
      <c r="O5" s="183"/>
    </row>
    <row r="6" spans="1:25" ht="17.25" customHeight="1" x14ac:dyDescent="0.2">
      <c r="A6" s="183" t="s">
        <v>76</v>
      </c>
      <c r="G6" s="257"/>
      <c r="H6" s="257"/>
      <c r="I6" s="257"/>
      <c r="J6" s="257"/>
    </row>
    <row r="7" spans="1:25" ht="15" x14ac:dyDescent="0.25">
      <c r="A7" s="477" t="s">
        <v>242</v>
      </c>
      <c r="G7" s="257"/>
      <c r="H7" s="257"/>
      <c r="I7" s="257"/>
      <c r="J7" s="257"/>
      <c r="P7" s="372"/>
      <c r="Q7" s="372"/>
      <c r="R7" s="372"/>
    </row>
    <row r="8" spans="1:25" ht="15" customHeight="1" x14ac:dyDescent="0.2">
      <c r="A8" s="444">
        <f ca="1">NOW()</f>
        <v>45929.466219097223</v>
      </c>
      <c r="D8" s="676"/>
      <c r="E8" s="676"/>
      <c r="F8" s="676"/>
      <c r="G8" s="676"/>
      <c r="H8" s="676"/>
      <c r="I8" s="676"/>
      <c r="J8" s="676"/>
      <c r="K8" s="676"/>
      <c r="L8" s="676"/>
      <c r="M8" s="676"/>
      <c r="N8" s="676"/>
      <c r="O8" s="676"/>
      <c r="P8" s="676"/>
      <c r="Q8" s="372"/>
      <c r="R8" s="372"/>
    </row>
    <row r="9" spans="1:25" ht="18.75" customHeight="1" x14ac:dyDescent="0.2">
      <c r="A9" s="387" t="str">
        <f>ТИТУЛ!$B$22&amp;" квартал "&amp;ТИТУЛ!$D$22&amp;" года"</f>
        <v>2 квартал 2024 года</v>
      </c>
      <c r="D9" s="688"/>
      <c r="E9" s="688"/>
      <c r="F9" s="688"/>
      <c r="G9" s="688"/>
      <c r="H9" s="688"/>
      <c r="I9" s="688"/>
      <c r="J9" s="688"/>
      <c r="K9" s="689"/>
      <c r="L9" s="689"/>
      <c r="M9" s="689"/>
      <c r="N9" s="689"/>
      <c r="O9" s="689"/>
      <c r="P9" s="689"/>
      <c r="Q9" s="1085"/>
      <c r="R9" s="372"/>
    </row>
    <row r="10" spans="1:25" ht="13.5" hidden="1" customHeight="1" x14ac:dyDescent="0.2">
      <c r="A10" s="146"/>
      <c r="B10" s="188"/>
      <c r="C10" s="188"/>
      <c r="D10" s="188"/>
      <c r="E10" s="188"/>
      <c r="F10" s="188"/>
      <c r="G10" s="188"/>
      <c r="H10" s="188"/>
      <c r="I10" s="188"/>
      <c r="J10" s="188"/>
      <c r="K10" s="188"/>
      <c r="L10" s="188"/>
      <c r="M10" s="188"/>
      <c r="N10" s="188"/>
      <c r="O10" s="188"/>
      <c r="P10" s="188"/>
      <c r="Q10" s="258"/>
    </row>
    <row r="11" spans="1:25" ht="13.5" customHeight="1" x14ac:dyDescent="0.2">
      <c r="A11" s="146"/>
      <c r="B11" s="419"/>
      <c r="C11" s="275" t="s">
        <v>535</v>
      </c>
      <c r="D11" s="275">
        <v>5</v>
      </c>
      <c r="E11" s="275">
        <v>5</v>
      </c>
      <c r="F11" s="275">
        <v>5</v>
      </c>
      <c r="G11" s="275">
        <v>5</v>
      </c>
      <c r="H11" s="275">
        <v>3</v>
      </c>
      <c r="I11" s="275">
        <v>5</v>
      </c>
      <c r="J11" s="275">
        <v>3</v>
      </c>
      <c r="K11" s="275">
        <v>3</v>
      </c>
      <c r="L11" s="275">
        <v>3</v>
      </c>
      <c r="M11" s="275">
        <v>3</v>
      </c>
      <c r="N11" s="275">
        <v>5</v>
      </c>
      <c r="O11" s="275">
        <v>5</v>
      </c>
      <c r="P11" s="275">
        <v>5</v>
      </c>
      <c r="Q11" s="257"/>
    </row>
    <row r="12" spans="1:25" ht="15.75" hidden="1" customHeight="1" x14ac:dyDescent="0.2">
      <c r="A12" s="146"/>
      <c r="B12" s="189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249"/>
    </row>
    <row r="13" spans="1:25" ht="256.5" customHeight="1" x14ac:dyDescent="0.2">
      <c r="A13" s="1210"/>
      <c r="B13" s="385" t="s">
        <v>327</v>
      </c>
      <c r="C13" s="192" t="s">
        <v>320</v>
      </c>
      <c r="D13" s="436" t="s">
        <v>520</v>
      </c>
      <c r="E13" s="563" t="s">
        <v>533</v>
      </c>
      <c r="F13" s="563" t="s">
        <v>527</v>
      </c>
      <c r="G13" s="562" t="s">
        <v>521</v>
      </c>
      <c r="H13" s="436" t="s">
        <v>528</v>
      </c>
      <c r="I13" s="436" t="s">
        <v>529</v>
      </c>
      <c r="J13" s="436" t="s">
        <v>522</v>
      </c>
      <c r="K13" s="436" t="s">
        <v>530</v>
      </c>
      <c r="L13" s="436" t="s">
        <v>525</v>
      </c>
      <c r="M13" s="436" t="s">
        <v>531</v>
      </c>
      <c r="N13" s="436" t="s">
        <v>523</v>
      </c>
      <c r="O13" s="436" t="s">
        <v>524</v>
      </c>
      <c r="P13" s="436" t="s">
        <v>526</v>
      </c>
      <c r="Q13" s="1082" t="s">
        <v>534</v>
      </c>
      <c r="R13" s="690" t="s">
        <v>6</v>
      </c>
      <c r="S13" s="692"/>
      <c r="W13" s="709" t="s">
        <v>53</v>
      </c>
      <c r="X13" s="709" t="s">
        <v>58</v>
      </c>
      <c r="Y13" s="710" t="s">
        <v>41</v>
      </c>
    </row>
    <row r="14" spans="1:25" ht="14.25" hidden="1" customHeight="1" x14ac:dyDescent="0.2">
      <c r="A14" s="58"/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195"/>
      <c r="M14" s="195"/>
      <c r="N14" s="195"/>
      <c r="O14" s="195"/>
      <c r="P14" s="195"/>
    </row>
    <row r="15" spans="1:25" ht="14.25" hidden="1" customHeight="1" x14ac:dyDescent="0.2">
      <c r="A15" s="67" t="s">
        <v>8</v>
      </c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</row>
    <row r="16" spans="1:25" ht="14.25" hidden="1" customHeight="1" x14ac:dyDescent="0.2">
      <c r="A16" s="71" t="s">
        <v>36</v>
      </c>
      <c r="B16" s="195"/>
      <c r="C16" s="195"/>
      <c r="D16" s="195"/>
      <c r="E16" s="195"/>
      <c r="F16" s="195"/>
      <c r="G16" s="195"/>
      <c r="H16" s="195"/>
      <c r="I16" s="195"/>
      <c r="J16" s="195"/>
      <c r="K16" s="195"/>
      <c r="L16" s="195"/>
      <c r="M16" s="195"/>
      <c r="N16" s="195"/>
      <c r="O16" s="195"/>
      <c r="P16" s="195"/>
    </row>
    <row r="17" spans="1:43" ht="14.25" hidden="1" customHeight="1" x14ac:dyDescent="0.2">
      <c r="A17" s="71" t="s">
        <v>36</v>
      </c>
      <c r="B17" s="195"/>
      <c r="C17" s="195"/>
      <c r="D17" s="195"/>
      <c r="E17" s="195"/>
      <c r="F17" s="195"/>
      <c r="G17" s="195"/>
      <c r="H17" s="195"/>
      <c r="I17" s="195"/>
      <c r="J17" s="195"/>
      <c r="K17" s="195"/>
      <c r="L17" s="195"/>
      <c r="M17" s="195"/>
      <c r="N17" s="195"/>
      <c r="O17" s="195"/>
      <c r="P17" s="195"/>
    </row>
    <row r="18" spans="1:43" ht="6.75" customHeight="1" x14ac:dyDescent="0.2">
      <c r="A18" s="80"/>
      <c r="B18" s="197"/>
      <c r="C18" s="197"/>
      <c r="D18" s="197"/>
      <c r="E18" s="197"/>
      <c r="F18" s="197"/>
      <c r="G18" s="197"/>
      <c r="H18" s="197"/>
      <c r="I18" s="197"/>
      <c r="J18" s="197"/>
      <c r="K18" s="197"/>
      <c r="L18" s="197"/>
      <c r="M18" s="197"/>
      <c r="N18" s="197"/>
      <c r="O18" s="197"/>
      <c r="P18" s="197"/>
      <c r="Q18" s="199"/>
      <c r="R18" s="199"/>
      <c r="W18" s="199"/>
      <c r="X18" s="199"/>
      <c r="Y18" s="199"/>
    </row>
    <row r="19" spans="1:43" x14ac:dyDescent="0.2">
      <c r="A19" s="88" t="s">
        <v>90</v>
      </c>
      <c r="B19" s="200"/>
      <c r="C19" s="427">
        <f>SUM(C$20:C$73)</f>
        <v>0</v>
      </c>
      <c r="D19" s="427" t="e">
        <f t="shared" ref="D19:P19" si="0">SUM(D$20:D$73)</f>
        <v>#REF!</v>
      </c>
      <c r="E19" s="427" t="e">
        <f t="shared" si="0"/>
        <v>#REF!</v>
      </c>
      <c r="F19" s="706" t="e">
        <f t="shared" si="0"/>
        <v>#REF!</v>
      </c>
      <c r="G19" s="427" t="e">
        <f t="shared" si="0"/>
        <v>#REF!</v>
      </c>
      <c r="H19" s="427" t="e">
        <f t="shared" si="0"/>
        <v>#REF!</v>
      </c>
      <c r="I19" s="427" t="e">
        <f t="shared" si="0"/>
        <v>#REF!</v>
      </c>
      <c r="J19" s="427">
        <f t="shared" si="0"/>
        <v>0</v>
      </c>
      <c r="K19" s="427" t="e">
        <f t="shared" si="0"/>
        <v>#REF!</v>
      </c>
      <c r="L19" s="427" t="e">
        <f t="shared" si="0"/>
        <v>#REF!</v>
      </c>
      <c r="M19" s="427" t="e">
        <f t="shared" si="0"/>
        <v>#REF!</v>
      </c>
      <c r="N19" s="427" t="e">
        <f t="shared" si="0"/>
        <v>#REF!</v>
      </c>
      <c r="O19" s="427" t="e">
        <f t="shared" si="0"/>
        <v>#REF!</v>
      </c>
      <c r="P19" s="427" t="e">
        <f t="shared" si="0"/>
        <v>#REF!</v>
      </c>
      <c r="Q19" s="430" t="e">
        <f>IF(SUMPRODUCT(D19:P19,$D$11:$P$11)&gt;15,15,SUMPRODUCT(D19:P19,$D$11:$P$11))</f>
        <v>#REF!</v>
      </c>
      <c r="R19" s="1212" t="e">
        <f>SUM(R20:R27)/COUNT(R20:R27)</f>
        <v>#REF!</v>
      </c>
      <c r="W19" s="953" t="e">
        <f t="shared" ref="W19:W27" si="1">Q19</f>
        <v>#REF!</v>
      </c>
      <c r="X19" s="953">
        <f>15</f>
        <v>15</v>
      </c>
      <c r="Y19" s="953"/>
      <c r="AB19" s="691"/>
      <c r="AC19" s="691"/>
    </row>
    <row r="20" spans="1:43" ht="15" customHeight="1" x14ac:dyDescent="0.2">
      <c r="A20" s="139" t="str">
        <f>ИНСТИТУТ!A20</f>
        <v>Институт клинической медицины</v>
      </c>
      <c r="B20" s="186" t="str">
        <f>КАФЕДРА!$D20</f>
        <v>КМЕДИЦИНЫ</v>
      </c>
      <c r="C20" s="186">
        <f>IF(LEN(Кадры!$A20)&gt;2,Кадры!$E20,0)</f>
        <v>0</v>
      </c>
      <c r="D20" s="744" t="e">
        <f>SUMIF('Реестр ППС'!$B$10:$B$310,'«ВУЗ-РЕГИОН»(кафедры)'!$B20,'Реестр ППС'!#REF!)</f>
        <v>#REF!</v>
      </c>
      <c r="E20" s="744" t="e">
        <f>SUMIF('Реестр ППС'!$B$10:$B$310,'«ВУЗ-РЕГИОН»(кафедры)'!$B20,'Реестр ППС'!#REF!)</f>
        <v>#REF!</v>
      </c>
      <c r="F20" s="744" t="e">
        <f>SUMIF('Реестр ППС'!$B$10:$B$310,'«ВУЗ-РЕГИОН»(кафедры)'!$B20,'Реестр ППС'!#REF!)</f>
        <v>#REF!</v>
      </c>
      <c r="G20" s="744" t="e">
        <f>SUMIF('Реестр ППС'!$B$10:$B$310,'«ВУЗ-РЕГИОН»(кафедры)'!$B20,'Реестр ППС'!#REF!)</f>
        <v>#REF!</v>
      </c>
      <c r="H20" s="744" t="e">
        <f>SUMIF('Реестр ППС'!$B$10:$B$310,'«ВУЗ-РЕГИОН»(кафедры)'!$B20,'Реестр ППС'!#REF!)</f>
        <v>#REF!</v>
      </c>
      <c r="I20" s="744" t="e">
        <f>SUMIF('Реестр ППС'!$B$10:$B$310,'«ВУЗ-РЕГИОН»(кафедры)'!$B20,'Реестр ППС'!#REF!)</f>
        <v>#REF!</v>
      </c>
      <c r="J20" s="744">
        <f>SUMIF('Реестр ППС'!$B$10:$B$310,'«ВУЗ-РЕГИОН»(кафедры)'!$B20,'Реестр ППС'!D$10:D$310)</f>
        <v>0</v>
      </c>
      <c r="K20" s="744" t="e">
        <f>SUMIF('Реестр ППС'!$B$10:$B$310,'«ВУЗ-РЕГИОН»(кафедры)'!$B20,'Реестр ППС'!#REF!)</f>
        <v>#REF!</v>
      </c>
      <c r="L20" s="744" t="e">
        <f>SUMIF('Реестр ППС'!$B$10:$B$310,'«ВУЗ-РЕГИОН»(кафедры)'!$B20,'Реестр ППС'!#REF!)</f>
        <v>#REF!</v>
      </c>
      <c r="M20" s="744" t="e">
        <f>SUMIF('Реестр ППС'!$B$10:$B$310,'«ВУЗ-РЕГИОН»(кафедры)'!$B20,'Реестр ППС'!#REF!)</f>
        <v>#REF!</v>
      </c>
      <c r="N20" s="744" t="e">
        <f>SUMIF('Реестр ППС'!$B$10:$B$310,'«ВУЗ-РЕГИОН»(кафедры)'!$B20,'Реестр ППС'!#REF!)</f>
        <v>#REF!</v>
      </c>
      <c r="O20" s="744" t="e">
        <f>SUMIF('Реестр ППС'!$B$10:$B$310,'«ВУЗ-РЕГИОН»(кафедры)'!$B20,'Реестр ППС'!#REF!)</f>
        <v>#REF!</v>
      </c>
      <c r="P20" s="744" t="e">
        <f>SUMIF('Реестр ППС'!$B$10:$B$310,'«ВУЗ-РЕГИОН»(кафедры)'!$B20,'Реестр ППС'!#REF!)</f>
        <v>#REF!</v>
      </c>
      <c r="Q20" s="202" t="e">
        <f>SUMIF('Реестр ППС'!$B:$B,'«ВУЗ-РЕГИОН»(кафедры)'!$B20,'Реестр ППС'!#REF!)/15</f>
        <v>#REF!</v>
      </c>
      <c r="R20" s="954" t="e">
        <f t="shared" ref="R20:R27" si="2">IF(Q20=15,100,Q20/15*100)</f>
        <v>#REF!</v>
      </c>
      <c r="W20" s="471" t="e">
        <f t="shared" si="1"/>
        <v>#REF!</v>
      </c>
      <c r="X20" s="708">
        <f>15</f>
        <v>15</v>
      </c>
      <c r="Y20" s="1198" t="e">
        <f>IF(W20=0,0,TEXT(W20/X20*100,"0,0")&amp;"%
="&amp;TEXT(W20,"0,0")&amp;"/"&amp;TEXT(X20,"0,0"))</f>
        <v>#REF!</v>
      </c>
      <c r="Z20" s="465"/>
      <c r="AA20" s="465"/>
      <c r="AB20" s="691"/>
      <c r="AC20" s="691"/>
      <c r="AQ20" s="262"/>
    </row>
    <row r="21" spans="1:43" ht="15" customHeight="1" x14ac:dyDescent="0.2">
      <c r="A21" s="139" t="str">
        <f>ИНСТИТУТ!A21</f>
        <v>Институт педиатрии</v>
      </c>
      <c r="B21" s="186" t="str">
        <f>КАФЕДРА!D37</f>
        <v>ПЕДИАТРИИ</v>
      </c>
      <c r="C21" s="186">
        <f>IF(LEN(Кадры!$A21)&gt;2,Кадры!$E21,0)</f>
        <v>0</v>
      </c>
      <c r="D21" s="744" t="e">
        <f>SUMIF('Реестр ППС'!$B$10:$B$310,'«ВУЗ-РЕГИОН»(кафедры)'!$B21,'Реестр ППС'!#REF!)</f>
        <v>#REF!</v>
      </c>
      <c r="E21" s="744" t="e">
        <f>SUMIF('Реестр ППС'!$B$10:$B$310,'«ВУЗ-РЕГИОН»(кафедры)'!$B21,'Реестр ППС'!#REF!)</f>
        <v>#REF!</v>
      </c>
      <c r="F21" s="744" t="e">
        <f>SUMIF('Реестр ППС'!$B$10:$B$310,'«ВУЗ-РЕГИОН»(кафедры)'!$B21,'Реестр ППС'!#REF!)</f>
        <v>#REF!</v>
      </c>
      <c r="G21" s="744" t="e">
        <f>SUMIF('Реестр ППС'!$B$10:$B$310,'«ВУЗ-РЕГИОН»(кафедры)'!$B21,'Реестр ППС'!#REF!)</f>
        <v>#REF!</v>
      </c>
      <c r="H21" s="744" t="e">
        <f>SUMIF('Реестр ППС'!$B$10:$B$310,'«ВУЗ-РЕГИОН»(кафедры)'!$B21,'Реестр ППС'!#REF!)</f>
        <v>#REF!</v>
      </c>
      <c r="I21" s="744" t="e">
        <f>SUMIF('Реестр ППС'!$B$10:$B$310,'«ВУЗ-РЕГИОН»(кафедры)'!$B21,'Реестр ППС'!#REF!)</f>
        <v>#REF!</v>
      </c>
      <c r="J21" s="744">
        <f>SUMIF('Реестр ППС'!$B$10:$B$310,'«ВУЗ-РЕГИОН»(кафедры)'!$B21,'Реестр ППС'!D$10:D$310)</f>
        <v>0</v>
      </c>
      <c r="K21" s="744" t="e">
        <f>SUMIF('Реестр ППС'!$B$10:$B$310,'«ВУЗ-РЕГИОН»(кафедры)'!$B21,'Реестр ППС'!#REF!)</f>
        <v>#REF!</v>
      </c>
      <c r="L21" s="744" t="e">
        <f>SUMIF('Реестр ППС'!$B$10:$B$310,'«ВУЗ-РЕГИОН»(кафедры)'!$B21,'Реестр ППС'!#REF!)</f>
        <v>#REF!</v>
      </c>
      <c r="M21" s="744" t="e">
        <f>SUMIF('Реестр ППС'!$B$10:$B$310,'«ВУЗ-РЕГИОН»(кафедры)'!$B21,'Реестр ППС'!#REF!)</f>
        <v>#REF!</v>
      </c>
      <c r="N21" s="744" t="e">
        <f>SUMIF('Реестр ППС'!$B$10:$B$310,'«ВУЗ-РЕГИОН»(кафедры)'!$B21,'Реестр ППС'!#REF!)</f>
        <v>#REF!</v>
      </c>
      <c r="O21" s="744" t="e">
        <f>SUMIF('Реестр ППС'!$B$10:$B$310,'«ВУЗ-РЕГИОН»(кафедры)'!$B21,'Реестр ППС'!#REF!)</f>
        <v>#REF!</v>
      </c>
      <c r="P21" s="744" t="e">
        <f>SUMIF('Реестр ППС'!$B$10:$B$310,'«ВУЗ-РЕГИОН»(кафедры)'!$B21,'Реестр ППС'!#REF!)</f>
        <v>#REF!</v>
      </c>
      <c r="Q21" s="954" t="e">
        <f>SUMIF('Реестр ППС'!$B:$B,'«ВУЗ-РЕГИОН»(кафедры)'!$B21,'Реестр ППС'!#REF!)/10</f>
        <v>#REF!</v>
      </c>
      <c r="R21" s="954" t="e">
        <f t="shared" si="2"/>
        <v>#REF!</v>
      </c>
      <c r="S21" s="460"/>
      <c r="W21" s="471" t="e">
        <f t="shared" si="1"/>
        <v>#REF!</v>
      </c>
      <c r="X21" s="708">
        <f>15</f>
        <v>15</v>
      </c>
      <c r="Y21" s="1198" t="e">
        <f t="shared" ref="Y21:Y27" si="3">IF(W21=0,0,TEXT(W21/X21*100,"0,0")&amp;"%
="&amp;TEXT(W21,"0,0")&amp;"/"&amp;TEXT(X21,"0,0"))</f>
        <v>#REF!</v>
      </c>
    </row>
    <row r="22" spans="1:43" ht="15" customHeight="1" x14ac:dyDescent="0.2">
      <c r="A22" s="139" t="str">
        <f>ИНСТИТУТ!A22</f>
        <v>Институт стоматологии</v>
      </c>
      <c r="B22" s="186" t="str">
        <f>КАФЕДРА!D48</f>
        <v>СТОМ</v>
      </c>
      <c r="C22" s="186">
        <f>IF(LEN(Кадры!$A22)&gt;2,Кадры!$E22,0)</f>
        <v>0</v>
      </c>
      <c r="D22" s="744" t="e">
        <f>SUMIF('Реестр ППС'!$B$10:$B$310,'«ВУЗ-РЕГИОН»(кафедры)'!$B22,'Реестр ППС'!#REF!)</f>
        <v>#REF!</v>
      </c>
      <c r="E22" s="744" t="e">
        <f>SUMIF('Реестр ППС'!$B$10:$B$310,'«ВУЗ-РЕГИОН»(кафедры)'!$B22,'Реестр ППС'!#REF!)</f>
        <v>#REF!</v>
      </c>
      <c r="F22" s="744" t="e">
        <f>SUMIF('Реестр ППС'!$B$10:$B$310,'«ВУЗ-РЕГИОН»(кафедры)'!$B22,'Реестр ППС'!#REF!)</f>
        <v>#REF!</v>
      </c>
      <c r="G22" s="744" t="e">
        <f>SUMIF('Реестр ППС'!$B$10:$B$310,'«ВУЗ-РЕГИОН»(кафедры)'!$B22,'Реестр ППС'!#REF!)</f>
        <v>#REF!</v>
      </c>
      <c r="H22" s="744" t="e">
        <f>SUMIF('Реестр ППС'!$B$10:$B$310,'«ВУЗ-РЕГИОН»(кафедры)'!$B22,'Реестр ППС'!#REF!)</f>
        <v>#REF!</v>
      </c>
      <c r="I22" s="744" t="e">
        <f>SUMIF('Реестр ППС'!$B$10:$B$310,'«ВУЗ-РЕГИОН»(кафедры)'!$B22,'Реестр ППС'!#REF!)</f>
        <v>#REF!</v>
      </c>
      <c r="J22" s="744">
        <f>SUMIF('Реестр ППС'!$B$10:$B$310,'«ВУЗ-РЕГИОН»(кафедры)'!$B22,'Реестр ППС'!D$10:D$310)</f>
        <v>0</v>
      </c>
      <c r="K22" s="744" t="e">
        <f>SUMIF('Реестр ППС'!$B$10:$B$310,'«ВУЗ-РЕГИОН»(кафедры)'!$B22,'Реестр ППС'!#REF!)</f>
        <v>#REF!</v>
      </c>
      <c r="L22" s="744" t="e">
        <f>SUMIF('Реестр ППС'!$B$10:$B$310,'«ВУЗ-РЕГИОН»(кафедры)'!$B22,'Реестр ППС'!#REF!)</f>
        <v>#REF!</v>
      </c>
      <c r="M22" s="744" t="e">
        <f>SUMIF('Реестр ППС'!$B$10:$B$310,'«ВУЗ-РЕГИОН»(кафедры)'!$B22,'Реестр ППС'!#REF!)</f>
        <v>#REF!</v>
      </c>
      <c r="N22" s="744" t="e">
        <f>SUMIF('Реестр ППС'!$B$10:$B$310,'«ВУЗ-РЕГИОН»(кафедры)'!$B22,'Реестр ППС'!#REF!)</f>
        <v>#REF!</v>
      </c>
      <c r="O22" s="744" t="e">
        <f>SUMIF('Реестр ППС'!$B$10:$B$310,'«ВУЗ-РЕГИОН»(кафедры)'!$B22,'Реестр ППС'!#REF!)</f>
        <v>#REF!</v>
      </c>
      <c r="P22" s="744" t="e">
        <f>SUMIF('Реестр ППС'!$B$10:$B$310,'«ВУЗ-РЕГИОН»(кафедры)'!$B22,'Реестр ППС'!#REF!)</f>
        <v>#REF!</v>
      </c>
      <c r="Q22" s="954" t="e">
        <f>SUMIF('Реестр ППС'!$B:$B,'«ВУЗ-РЕГИОН»(кафедры)'!$B22,'Реестр ППС'!#REF!)/4</f>
        <v>#REF!</v>
      </c>
      <c r="R22" s="954" t="e">
        <f t="shared" si="2"/>
        <v>#REF!</v>
      </c>
      <c r="W22" s="471" t="e">
        <f t="shared" si="1"/>
        <v>#REF!</v>
      </c>
      <c r="X22" s="708">
        <f>15</f>
        <v>15</v>
      </c>
      <c r="Y22" s="1198" t="e">
        <f t="shared" si="3"/>
        <v>#REF!</v>
      </c>
    </row>
    <row r="23" spans="1:43" ht="15" customHeight="1" x14ac:dyDescent="0.2">
      <c r="A23" s="139" t="str">
        <f>ИНСТИТУТ!A23</f>
        <v>Институт общественного здоровья и профилактической медицины</v>
      </c>
      <c r="B23" s="186" t="str">
        <f>Кадры!B53</f>
        <v>ОЗДОРОВЬЯ</v>
      </c>
      <c r="C23" s="186">
        <f>IF(LEN(Кадры!$A23)&gt;2,Кадры!$E23,0)</f>
        <v>0</v>
      </c>
      <c r="D23" s="744" t="e">
        <f>SUMIF('Реестр ППС'!$B$10:$B$310,'«ВУЗ-РЕГИОН»(кафедры)'!$B23,'Реестр ППС'!#REF!)</f>
        <v>#REF!</v>
      </c>
      <c r="E23" s="744" t="e">
        <f>SUMIF('Реестр ППС'!$B$10:$B$310,'«ВУЗ-РЕГИОН»(кафедры)'!$B23,'Реестр ППС'!#REF!)</f>
        <v>#REF!</v>
      </c>
      <c r="F23" s="744" t="e">
        <f>SUMIF('Реестр ППС'!$B$10:$B$310,'«ВУЗ-РЕГИОН»(кафедры)'!$B23,'Реестр ППС'!#REF!)</f>
        <v>#REF!</v>
      </c>
      <c r="G23" s="744" t="e">
        <f>SUMIF('Реестр ППС'!$B$10:$B$310,'«ВУЗ-РЕГИОН»(кафедры)'!$B23,'Реестр ППС'!#REF!)</f>
        <v>#REF!</v>
      </c>
      <c r="H23" s="744" t="e">
        <f>SUMIF('Реестр ППС'!$B$10:$B$310,'«ВУЗ-РЕГИОН»(кафедры)'!$B23,'Реестр ППС'!#REF!)</f>
        <v>#REF!</v>
      </c>
      <c r="I23" s="744" t="e">
        <f>SUMIF('Реестр ППС'!$B$10:$B$310,'«ВУЗ-РЕГИОН»(кафедры)'!$B23,'Реестр ППС'!#REF!)</f>
        <v>#REF!</v>
      </c>
      <c r="J23" s="744">
        <f>SUMIF('Реестр ППС'!$B$10:$B$310,'«ВУЗ-РЕГИОН»(кафедры)'!$B23,'Реестр ППС'!D$10:D$310)</f>
        <v>0</v>
      </c>
      <c r="K23" s="744" t="e">
        <f>SUMIF('Реестр ППС'!$B$10:$B$310,'«ВУЗ-РЕГИОН»(кафедры)'!$B23,'Реестр ППС'!#REF!)</f>
        <v>#REF!</v>
      </c>
      <c r="L23" s="744" t="e">
        <f>SUMIF('Реестр ППС'!$B$10:$B$310,'«ВУЗ-РЕГИОН»(кафедры)'!$B23,'Реестр ППС'!#REF!)</f>
        <v>#REF!</v>
      </c>
      <c r="M23" s="744" t="e">
        <f>SUMIF('Реестр ППС'!$B$10:$B$310,'«ВУЗ-РЕГИОН»(кафедры)'!$B23,'Реестр ППС'!#REF!)</f>
        <v>#REF!</v>
      </c>
      <c r="N23" s="744" t="e">
        <f>SUMIF('Реестр ППС'!$B$10:$B$310,'«ВУЗ-РЕГИОН»(кафедры)'!$B23,'Реестр ППС'!#REF!)</f>
        <v>#REF!</v>
      </c>
      <c r="O23" s="744" t="e">
        <f>SUMIF('Реестр ППС'!$B$10:$B$310,'«ВУЗ-РЕГИОН»(кафедры)'!$B23,'Реестр ППС'!#REF!)</f>
        <v>#REF!</v>
      </c>
      <c r="P23" s="744" t="e">
        <f>SUMIF('Реестр ППС'!$B$10:$B$310,'«ВУЗ-РЕГИОН»(кафедры)'!$B23,'Реестр ППС'!#REF!)</f>
        <v>#REF!</v>
      </c>
      <c r="Q23" s="954" t="e">
        <f>SUMIF('Реестр ППС'!$B:$B,'«ВУЗ-РЕГИОН»(кафедры)'!$B23,'Реестр ППС'!#REF!)/5</f>
        <v>#REF!</v>
      </c>
      <c r="R23" s="954" t="e">
        <f t="shared" si="2"/>
        <v>#REF!</v>
      </c>
      <c r="W23" s="471" t="e">
        <f t="shared" si="1"/>
        <v>#REF!</v>
      </c>
      <c r="X23" s="708">
        <f>15</f>
        <v>15</v>
      </c>
      <c r="Y23" s="1198" t="e">
        <f t="shared" si="3"/>
        <v>#REF!</v>
      </c>
    </row>
    <row r="24" spans="1:43" ht="15" customHeight="1" x14ac:dyDescent="0.2">
      <c r="A24" s="139" t="str">
        <f>ИНСТИТУТ!A24</f>
        <v>Институт фармации</v>
      </c>
      <c r="B24" s="186" t="str">
        <f>Кадры!B68</f>
        <v>ФАРМ</v>
      </c>
      <c r="C24" s="186">
        <f>IF(LEN(Кадры!$A24)&gt;2,Кадры!$E24,0)</f>
        <v>0</v>
      </c>
      <c r="D24" s="744" t="e">
        <f>SUMIF('Реестр ППС'!$B$10:$B$310,'«ВУЗ-РЕГИОН»(кафедры)'!$B24,'Реестр ППС'!#REF!)</f>
        <v>#REF!</v>
      </c>
      <c r="E24" s="744" t="e">
        <f>SUMIF('Реестр ППС'!$B$10:$B$310,'«ВУЗ-РЕГИОН»(кафедры)'!$B24,'Реестр ППС'!#REF!)</f>
        <v>#REF!</v>
      </c>
      <c r="F24" s="744" t="e">
        <f>SUMIF('Реестр ППС'!$B$10:$B$310,'«ВУЗ-РЕГИОН»(кафедры)'!$B24,'Реестр ППС'!#REF!)</f>
        <v>#REF!</v>
      </c>
      <c r="G24" s="744" t="e">
        <f>SUMIF('Реестр ППС'!$B$10:$B$310,'«ВУЗ-РЕГИОН»(кафедры)'!$B24,'Реестр ППС'!#REF!)</f>
        <v>#REF!</v>
      </c>
      <c r="H24" s="744" t="e">
        <f>SUMIF('Реестр ППС'!$B$10:$B$310,'«ВУЗ-РЕГИОН»(кафедры)'!$B24,'Реестр ППС'!#REF!)</f>
        <v>#REF!</v>
      </c>
      <c r="I24" s="744" t="e">
        <f>SUMIF('Реестр ППС'!$B$10:$B$310,'«ВУЗ-РЕГИОН»(кафедры)'!$B24,'Реестр ППС'!#REF!)</f>
        <v>#REF!</v>
      </c>
      <c r="J24" s="744">
        <f>SUMIF('Реестр ППС'!$B$10:$B$310,'«ВУЗ-РЕГИОН»(кафедры)'!$B24,'Реестр ППС'!D$10:D$310)</f>
        <v>0</v>
      </c>
      <c r="K24" s="744" t="e">
        <f>SUMIF('Реестр ППС'!$B$10:$B$310,'«ВУЗ-РЕГИОН»(кафедры)'!$B24,'Реестр ППС'!#REF!)</f>
        <v>#REF!</v>
      </c>
      <c r="L24" s="744" t="e">
        <f>SUMIF('Реестр ППС'!$B$10:$B$310,'«ВУЗ-РЕГИОН»(кафедры)'!$B24,'Реестр ППС'!#REF!)</f>
        <v>#REF!</v>
      </c>
      <c r="M24" s="744" t="e">
        <f>SUMIF('Реестр ППС'!$B$10:$B$310,'«ВУЗ-РЕГИОН»(кафедры)'!$B24,'Реестр ППС'!#REF!)</f>
        <v>#REF!</v>
      </c>
      <c r="N24" s="744" t="e">
        <f>SUMIF('Реестр ППС'!$B$10:$B$310,'«ВУЗ-РЕГИОН»(кафедры)'!$B24,'Реестр ППС'!#REF!)</f>
        <v>#REF!</v>
      </c>
      <c r="O24" s="744" t="e">
        <f>SUMIF('Реестр ППС'!$B$10:$B$310,'«ВУЗ-РЕГИОН»(кафедры)'!$B24,'Реестр ППС'!#REF!)</f>
        <v>#REF!</v>
      </c>
      <c r="P24" s="744" t="e">
        <f>SUMIF('Реестр ППС'!$B$10:$B$310,'«ВУЗ-РЕГИОН»(кафедры)'!$B24,'Реестр ППС'!#REF!)</f>
        <v>#REF!</v>
      </c>
      <c r="Q24" s="954" t="e">
        <f>SUMIF('Реестр ППС'!$B:$B,'«ВУЗ-РЕГИОН»(кафедры)'!$B24,'Реестр ППС'!#REF!)/COUNTIF('Реестр ППС'!$B:$B,'«ВУЗ-РЕГИОН»(кафедры)'!$B24)</f>
        <v>#REF!</v>
      </c>
      <c r="R24" s="954" t="e">
        <f t="shared" si="2"/>
        <v>#REF!</v>
      </c>
      <c r="W24" s="471" t="e">
        <f t="shared" si="1"/>
        <v>#REF!</v>
      </c>
      <c r="X24" s="708">
        <v>0</v>
      </c>
      <c r="Y24" s="1198" t="e">
        <f t="shared" si="3"/>
        <v>#REF!</v>
      </c>
    </row>
    <row r="25" spans="1:43" ht="15" customHeight="1" x14ac:dyDescent="0.2">
      <c r="A25" s="139" t="str">
        <f>ИНСТИТУТ!A25</f>
        <v>Институт клинической психологии</v>
      </c>
      <c r="B25" s="186" t="str">
        <f>Кадры!B72</f>
        <v>КПСИХОЛОГИИ</v>
      </c>
      <c r="C25" s="186">
        <f>IF(LEN(Кадры!$A25)&gt;2,Кадры!$E25,0)</f>
        <v>0</v>
      </c>
      <c r="D25" s="744" t="e">
        <f>SUMIF('Реестр ППС'!$B$10:$B$310,'«ВУЗ-РЕГИОН»(кафедры)'!$B25,'Реестр ППС'!#REF!)</f>
        <v>#REF!</v>
      </c>
      <c r="E25" s="744" t="e">
        <f>SUMIF('Реестр ППС'!$B$10:$B$310,'«ВУЗ-РЕГИОН»(кафедры)'!$B25,'Реестр ППС'!#REF!)</f>
        <v>#REF!</v>
      </c>
      <c r="F25" s="744" t="e">
        <f>SUMIF('Реестр ППС'!$B$10:$B$310,'«ВУЗ-РЕГИОН»(кафедры)'!$B25,'Реестр ППС'!#REF!)</f>
        <v>#REF!</v>
      </c>
      <c r="G25" s="744" t="e">
        <f>SUMIF('Реестр ППС'!$B$10:$B$310,'«ВУЗ-РЕГИОН»(кафедры)'!$B25,'Реестр ППС'!#REF!)</f>
        <v>#REF!</v>
      </c>
      <c r="H25" s="744" t="e">
        <f>SUMIF('Реестр ППС'!$B$10:$B$310,'«ВУЗ-РЕГИОН»(кафедры)'!$B25,'Реестр ППС'!#REF!)</f>
        <v>#REF!</v>
      </c>
      <c r="I25" s="744" t="e">
        <f>SUMIF('Реестр ППС'!$B$10:$B$310,'«ВУЗ-РЕГИОН»(кафедры)'!$B25,'Реестр ППС'!#REF!)</f>
        <v>#REF!</v>
      </c>
      <c r="J25" s="744">
        <f>SUMIF('Реестр ППС'!$B$10:$B$310,'«ВУЗ-РЕГИОН»(кафедры)'!$B25,'Реестр ППС'!D$10:D$310)</f>
        <v>0</v>
      </c>
      <c r="K25" s="744" t="e">
        <f>SUMIF('Реестр ППС'!$B$10:$B$310,'«ВУЗ-РЕГИОН»(кафедры)'!$B25,'Реестр ППС'!#REF!)</f>
        <v>#REF!</v>
      </c>
      <c r="L25" s="744" t="e">
        <f>SUMIF('Реестр ППС'!$B$10:$B$310,'«ВУЗ-РЕГИОН»(кафедры)'!$B25,'Реестр ППС'!#REF!)</f>
        <v>#REF!</v>
      </c>
      <c r="M25" s="744" t="e">
        <f>SUMIF('Реестр ППС'!$B$10:$B$310,'«ВУЗ-РЕГИОН»(кафедры)'!$B25,'Реестр ППС'!#REF!)</f>
        <v>#REF!</v>
      </c>
      <c r="N25" s="744" t="e">
        <f>SUMIF('Реестр ППС'!$B$10:$B$310,'«ВУЗ-РЕГИОН»(кафедры)'!$B25,'Реестр ППС'!#REF!)</f>
        <v>#REF!</v>
      </c>
      <c r="O25" s="744" t="e">
        <f>SUMIF('Реестр ППС'!$B$10:$B$310,'«ВУЗ-РЕГИОН»(кафедры)'!$B25,'Реестр ППС'!#REF!)</f>
        <v>#REF!</v>
      </c>
      <c r="P25" s="744" t="e">
        <f>SUMIF('Реестр ППС'!$B$10:$B$310,'«ВУЗ-РЕГИОН»(кафедры)'!$B25,'Реестр ППС'!#REF!)</f>
        <v>#REF!</v>
      </c>
      <c r="Q25" s="954" t="e">
        <f>SUMIF('Реестр ППС'!$B:$B,'«ВУЗ-РЕГИОН»(кафедры)'!$B25,'Реестр ППС'!#REF!)/3</f>
        <v>#REF!</v>
      </c>
      <c r="R25" s="954" t="e">
        <f t="shared" si="2"/>
        <v>#REF!</v>
      </c>
      <c r="W25" s="471" t="e">
        <f t="shared" si="1"/>
        <v>#REF!</v>
      </c>
      <c r="X25" s="708">
        <f>15</f>
        <v>15</v>
      </c>
      <c r="Y25" s="1198" t="e">
        <f t="shared" si="3"/>
        <v>#REF!</v>
      </c>
    </row>
    <row r="26" spans="1:43" ht="15" customHeight="1" x14ac:dyDescent="0.2">
      <c r="A26" s="139" t="str">
        <f>ИНСТИТУТ!A26</f>
        <v>Институт среднего профессионального образования</v>
      </c>
      <c r="B26" s="186" t="str">
        <f>Кадры!B63</f>
        <v>СПО</v>
      </c>
      <c r="C26" s="186">
        <f>IF(LEN(Кадры!$A26)&gt;2,Кадры!$E26,0)</f>
        <v>0</v>
      </c>
      <c r="D26" s="744" t="e">
        <f>SUMIF('Реестр ППС'!$B$10:$B$310,'«ВУЗ-РЕГИОН»(кафедры)'!$B26,'Реестр ППС'!#REF!)</f>
        <v>#REF!</v>
      </c>
      <c r="E26" s="744" t="e">
        <f>SUMIF('Реестр ППС'!$B$10:$B$310,'«ВУЗ-РЕГИОН»(кафедры)'!$B26,'Реестр ППС'!#REF!)</f>
        <v>#REF!</v>
      </c>
      <c r="F26" s="744" t="e">
        <f>SUMIF('Реестр ППС'!$B$10:$B$310,'«ВУЗ-РЕГИОН»(кафедры)'!$B26,'Реестр ППС'!#REF!)</f>
        <v>#REF!</v>
      </c>
      <c r="G26" s="744" t="e">
        <f>SUMIF('Реестр ППС'!$B$10:$B$310,'«ВУЗ-РЕГИОН»(кафедры)'!$B26,'Реестр ППС'!#REF!)</f>
        <v>#REF!</v>
      </c>
      <c r="H26" s="744" t="e">
        <f>SUMIF('Реестр ППС'!$B$10:$B$310,'«ВУЗ-РЕГИОН»(кафедры)'!$B26,'Реестр ППС'!#REF!)</f>
        <v>#REF!</v>
      </c>
      <c r="I26" s="744" t="e">
        <f>SUMIF('Реестр ППС'!$B$10:$B$310,'«ВУЗ-РЕГИОН»(кафедры)'!$B26,'Реестр ППС'!#REF!)</f>
        <v>#REF!</v>
      </c>
      <c r="J26" s="744">
        <f>SUMIF('Реестр ППС'!$B$10:$B$310,'«ВУЗ-РЕГИОН»(кафедры)'!$B26,'Реестр ППС'!D$10:D$310)</f>
        <v>0</v>
      </c>
      <c r="K26" s="744" t="e">
        <f>SUMIF('Реестр ППС'!$B$10:$B$310,'«ВУЗ-РЕГИОН»(кафедры)'!$B26,'Реестр ППС'!#REF!)</f>
        <v>#REF!</v>
      </c>
      <c r="L26" s="744" t="e">
        <f>SUMIF('Реестр ППС'!$B$10:$B$310,'«ВУЗ-РЕГИОН»(кафедры)'!$B26,'Реестр ППС'!#REF!)</f>
        <v>#REF!</v>
      </c>
      <c r="M26" s="744" t="e">
        <f>SUMIF('Реестр ППС'!$B$10:$B$310,'«ВУЗ-РЕГИОН»(кафедры)'!$B26,'Реестр ППС'!#REF!)</f>
        <v>#REF!</v>
      </c>
      <c r="N26" s="744" t="e">
        <f>SUMIF('Реестр ППС'!$B$10:$B$310,'«ВУЗ-РЕГИОН»(кафедры)'!$B26,'Реестр ППС'!#REF!)</f>
        <v>#REF!</v>
      </c>
      <c r="O26" s="744" t="e">
        <f>SUMIF('Реестр ППС'!$B$10:$B$310,'«ВУЗ-РЕГИОН»(кафедры)'!$B26,'Реестр ППС'!#REF!)</f>
        <v>#REF!</v>
      </c>
      <c r="P26" s="744" t="e">
        <f>SUMIF('Реестр ППС'!$B$10:$B$310,'«ВУЗ-РЕГИОН»(кафедры)'!$B26,'Реестр ППС'!#REF!)</f>
        <v>#REF!</v>
      </c>
      <c r="Q26" s="954" t="e">
        <f>SUMIF('Реестр ППС'!$B:$B,'«ВУЗ-РЕГИОН»(кафедры)'!$B26,'Реестр ППС'!#REF!)/COUNTIF('Реестр ППС'!$B:$B,'«ВУЗ-РЕГИОН»(кафедры)'!$B26)</f>
        <v>#REF!</v>
      </c>
      <c r="R26" s="954" t="e">
        <f t="shared" si="2"/>
        <v>#REF!</v>
      </c>
      <c r="W26" s="1211" t="e">
        <f t="shared" si="1"/>
        <v>#REF!</v>
      </c>
      <c r="X26" s="729">
        <f>15</f>
        <v>15</v>
      </c>
      <c r="Y26" s="1198" t="e">
        <f t="shared" si="3"/>
        <v>#REF!</v>
      </c>
    </row>
    <row r="27" spans="1:43" ht="15" customHeight="1" x14ac:dyDescent="0.2">
      <c r="A27" s="139" t="str">
        <f>ИНСТИТУТ!A27</f>
        <v>Факультет иностранных студентов</v>
      </c>
      <c r="B27" s="186" t="str">
        <f>Кадры!B74</f>
        <v>ФИС</v>
      </c>
      <c r="C27" s="186">
        <f>IF(LEN(Кадры!$A27)&gt;2,Кадры!$E27,0)</f>
        <v>0</v>
      </c>
      <c r="D27" s="744" t="e">
        <f>SUMIF('Реестр ППС'!$B$10:$B$310,'«ВУЗ-РЕГИОН»(кафедры)'!$B27,'Реестр ППС'!#REF!)</f>
        <v>#REF!</v>
      </c>
      <c r="E27" s="744" t="e">
        <f>SUMIF('Реестр ППС'!$B$10:$B$310,'«ВУЗ-РЕГИОН»(кафедры)'!$B27,'Реестр ППС'!#REF!)</f>
        <v>#REF!</v>
      </c>
      <c r="F27" s="744" t="e">
        <f>SUMIF('Реестр ППС'!$B$10:$B$310,'«ВУЗ-РЕГИОН»(кафедры)'!$B27,'Реестр ППС'!#REF!)</f>
        <v>#REF!</v>
      </c>
      <c r="G27" s="744" t="e">
        <f>SUMIF('Реестр ППС'!$B$10:$B$310,'«ВУЗ-РЕГИОН»(кафедры)'!$B27,'Реестр ППС'!#REF!)</f>
        <v>#REF!</v>
      </c>
      <c r="H27" s="744" t="e">
        <f>SUMIF('Реестр ППС'!$B$10:$B$310,'«ВУЗ-РЕГИОН»(кафедры)'!$B27,'Реестр ППС'!#REF!)</f>
        <v>#REF!</v>
      </c>
      <c r="I27" s="744" t="e">
        <f>SUMIF('Реестр ППС'!$B$10:$B$310,'«ВУЗ-РЕГИОН»(кафедры)'!$B27,'Реестр ППС'!#REF!)</f>
        <v>#REF!</v>
      </c>
      <c r="J27" s="744">
        <f>SUMIF('Реестр ППС'!$B$10:$B$310,'«ВУЗ-РЕГИОН»(кафедры)'!$B27,'Реестр ППС'!D$10:D$310)</f>
        <v>0</v>
      </c>
      <c r="K27" s="744" t="e">
        <f>SUMIF('Реестр ППС'!$B$10:$B$310,'«ВУЗ-РЕГИОН»(кафедры)'!$B27,'Реестр ППС'!#REF!)</f>
        <v>#REF!</v>
      </c>
      <c r="L27" s="744" t="e">
        <f>SUMIF('Реестр ППС'!$B$10:$B$310,'«ВУЗ-РЕГИОН»(кафедры)'!$B27,'Реестр ППС'!#REF!)</f>
        <v>#REF!</v>
      </c>
      <c r="M27" s="744" t="e">
        <f>SUMIF('Реестр ППС'!$B$10:$B$310,'«ВУЗ-РЕГИОН»(кафедры)'!$B27,'Реестр ППС'!#REF!)</f>
        <v>#REF!</v>
      </c>
      <c r="N27" s="744" t="e">
        <f>SUMIF('Реестр ППС'!$B$10:$B$310,'«ВУЗ-РЕГИОН»(кафедры)'!$B27,'Реестр ППС'!#REF!)</f>
        <v>#REF!</v>
      </c>
      <c r="O27" s="744" t="e">
        <f>SUMIF('Реестр ППС'!$B$10:$B$310,'«ВУЗ-РЕГИОН»(кафедры)'!$B27,'Реестр ППС'!#REF!)</f>
        <v>#REF!</v>
      </c>
      <c r="P27" s="744" t="e">
        <f>SUMIF('Реестр ППС'!$B$10:$B$310,'«ВУЗ-РЕГИОН»(кафедры)'!$B27,'Реестр ППС'!#REF!)</f>
        <v>#REF!</v>
      </c>
      <c r="Q27" s="954" t="e">
        <f>SUMIF('Реестр ППС'!$B:$B,'«ВУЗ-РЕГИОН»(кафедры)'!$B27,'Реестр ППС'!#REF!)/COUNTIF('Реестр ППС'!$B:$B,'«ВУЗ-РЕГИОН»(кафедры)'!$B27)</f>
        <v>#REF!</v>
      </c>
      <c r="R27" s="719" t="e">
        <f t="shared" si="2"/>
        <v>#REF!</v>
      </c>
      <c r="W27" s="471" t="e">
        <f t="shared" si="1"/>
        <v>#REF!</v>
      </c>
      <c r="X27" s="708">
        <v>0</v>
      </c>
      <c r="Y27" s="1198" t="e">
        <f t="shared" si="3"/>
        <v>#REF!</v>
      </c>
    </row>
    <row r="28" spans="1:43" ht="36" customHeight="1" x14ac:dyDescent="0.2">
      <c r="A28" s="146"/>
      <c r="B28" s="253"/>
      <c r="C28" s="253"/>
      <c r="D28" s="735"/>
      <c r="E28" s="735"/>
      <c r="F28" s="735"/>
      <c r="G28" s="735"/>
      <c r="H28" s="735"/>
      <c r="I28" s="735"/>
      <c r="J28" s="735"/>
      <c r="K28" s="736"/>
      <c r="L28" s="736"/>
      <c r="M28" s="736"/>
      <c r="N28" s="736"/>
      <c r="O28" s="736"/>
      <c r="P28" s="736"/>
      <c r="Q28" s="737"/>
      <c r="R28" s="737"/>
      <c r="W28" s="253"/>
      <c r="X28" s="740"/>
      <c r="Y28" s="740"/>
    </row>
    <row r="29" spans="1:43" x14ac:dyDescent="0.2">
      <c r="A29" s="146"/>
      <c r="B29" s="253"/>
      <c r="C29" s="253"/>
      <c r="D29" s="735"/>
      <c r="E29" s="735"/>
      <c r="F29" s="735"/>
      <c r="G29" s="735"/>
      <c r="H29" s="735"/>
      <c r="I29" s="735"/>
      <c r="J29" s="735"/>
      <c r="K29" s="736"/>
      <c r="L29" s="736"/>
      <c r="M29" s="736"/>
      <c r="N29" s="736"/>
      <c r="O29" s="736"/>
      <c r="P29" s="736"/>
      <c r="Q29" s="737"/>
      <c r="R29" s="737"/>
      <c r="W29" s="253"/>
      <c r="X29" s="740"/>
      <c r="Y29" s="740"/>
    </row>
    <row r="30" spans="1:43" x14ac:dyDescent="0.2">
      <c r="A30" s="146"/>
      <c r="B30" s="253"/>
      <c r="C30" s="253"/>
      <c r="D30" s="735"/>
      <c r="E30" s="735"/>
      <c r="F30" s="735"/>
      <c r="G30" s="735"/>
      <c r="H30" s="735"/>
      <c r="I30" s="735"/>
      <c r="J30" s="735"/>
      <c r="K30" s="736"/>
      <c r="L30" s="736"/>
      <c r="M30" s="736"/>
      <c r="N30" s="736"/>
      <c r="O30" s="736"/>
      <c r="P30" s="736"/>
      <c r="Q30" s="737"/>
      <c r="R30" s="737"/>
      <c r="W30" s="253"/>
      <c r="X30" s="740"/>
      <c r="Y30" s="740"/>
    </row>
    <row r="31" spans="1:43" x14ac:dyDescent="0.2">
      <c r="A31" s="146"/>
      <c r="B31" s="253"/>
      <c r="C31" s="253"/>
      <c r="D31" s="735"/>
      <c r="E31" s="735"/>
      <c r="F31" s="735"/>
      <c r="G31" s="735"/>
      <c r="H31" s="735"/>
      <c r="I31" s="735"/>
      <c r="J31" s="735"/>
      <c r="K31" s="736"/>
      <c r="L31" s="736"/>
      <c r="M31" s="736"/>
      <c r="N31" s="736"/>
      <c r="O31" s="736"/>
      <c r="P31" s="736"/>
      <c r="Q31" s="737"/>
      <c r="R31" s="737"/>
      <c r="W31" s="253"/>
      <c r="X31" s="740"/>
      <c r="Y31" s="740"/>
    </row>
    <row r="32" spans="1:43" x14ac:dyDescent="0.2">
      <c r="A32" s="146"/>
      <c r="B32" s="253"/>
      <c r="C32" s="253"/>
      <c r="D32" s="735"/>
      <c r="E32" s="735"/>
      <c r="F32" s="735"/>
      <c r="G32" s="735"/>
      <c r="H32" s="735"/>
      <c r="I32" s="735"/>
      <c r="J32" s="735"/>
      <c r="K32" s="736"/>
      <c r="L32" s="736"/>
      <c r="M32" s="736"/>
      <c r="N32" s="736"/>
      <c r="O32" s="736"/>
      <c r="P32" s="736"/>
      <c r="Q32" s="737"/>
      <c r="R32" s="737"/>
      <c r="W32" s="253"/>
      <c r="X32" s="740"/>
      <c r="Y32" s="740"/>
    </row>
    <row r="33" spans="1:25" x14ac:dyDescent="0.2">
      <c r="A33" s="146"/>
      <c r="B33" s="253"/>
      <c r="C33" s="253"/>
      <c r="D33" s="735"/>
      <c r="E33" s="735"/>
      <c r="F33" s="735"/>
      <c r="G33" s="735"/>
      <c r="H33" s="735"/>
      <c r="I33" s="735"/>
      <c r="J33" s="735"/>
      <c r="K33" s="736"/>
      <c r="L33" s="736"/>
      <c r="M33" s="736"/>
      <c r="N33" s="736"/>
      <c r="O33" s="736"/>
      <c r="P33" s="736"/>
      <c r="Q33" s="737"/>
      <c r="R33" s="737"/>
      <c r="W33" s="253"/>
      <c r="X33" s="740"/>
      <c r="Y33" s="740"/>
    </row>
    <row r="34" spans="1:25" x14ac:dyDescent="0.2">
      <c r="A34" s="146"/>
      <c r="B34" s="253"/>
      <c r="C34" s="253"/>
      <c r="D34" s="735"/>
      <c r="E34" s="735"/>
      <c r="F34" s="735"/>
      <c r="G34" s="735"/>
      <c r="H34" s="735"/>
      <c r="I34" s="735"/>
      <c r="J34" s="735"/>
      <c r="K34" s="736"/>
      <c r="L34" s="736"/>
      <c r="M34" s="736"/>
      <c r="N34" s="736"/>
      <c r="O34" s="736"/>
      <c r="P34" s="736"/>
      <c r="Q34" s="737"/>
      <c r="R34" s="737"/>
      <c r="W34" s="253"/>
      <c r="X34" s="740"/>
      <c r="Y34" s="740"/>
    </row>
    <row r="35" spans="1:25" x14ac:dyDescent="0.2">
      <c r="A35" s="146"/>
      <c r="B35" s="253"/>
      <c r="C35" s="253"/>
      <c r="D35" s="735"/>
      <c r="E35" s="735"/>
      <c r="F35" s="735"/>
      <c r="G35" s="735"/>
      <c r="H35" s="735"/>
      <c r="I35" s="735"/>
      <c r="J35" s="735"/>
      <c r="K35" s="736"/>
      <c r="L35" s="736"/>
      <c r="M35" s="736"/>
      <c r="N35" s="736"/>
      <c r="O35" s="736"/>
      <c r="P35" s="736"/>
      <c r="Q35" s="737"/>
      <c r="R35" s="737"/>
      <c r="W35" s="253"/>
      <c r="X35" s="740"/>
      <c r="Y35" s="740"/>
    </row>
    <row r="36" spans="1:25" x14ac:dyDescent="0.2">
      <c r="A36" s="146"/>
      <c r="B36" s="253"/>
      <c r="C36" s="253"/>
      <c r="D36" s="735"/>
      <c r="E36" s="735"/>
      <c r="F36" s="735"/>
      <c r="G36" s="735"/>
      <c r="H36" s="735"/>
      <c r="I36" s="735"/>
      <c r="J36" s="735"/>
      <c r="K36" s="736"/>
      <c r="L36" s="736"/>
      <c r="M36" s="736"/>
      <c r="N36" s="736"/>
      <c r="O36" s="736"/>
      <c r="P36" s="736"/>
      <c r="Q36" s="737"/>
      <c r="R36" s="737"/>
      <c r="W36" s="253"/>
      <c r="X36" s="740"/>
      <c r="Y36" s="740"/>
    </row>
    <row r="37" spans="1:25" x14ac:dyDescent="0.2">
      <c r="A37" s="146"/>
      <c r="B37" s="253"/>
      <c r="C37" s="253"/>
      <c r="D37" s="735"/>
      <c r="E37" s="735"/>
      <c r="F37" s="735"/>
      <c r="G37" s="735"/>
      <c r="H37" s="735"/>
      <c r="I37" s="735"/>
      <c r="J37" s="735"/>
      <c r="K37" s="736"/>
      <c r="L37" s="736"/>
      <c r="M37" s="736"/>
      <c r="N37" s="736"/>
      <c r="O37" s="736"/>
      <c r="P37" s="736"/>
      <c r="Q37" s="737"/>
      <c r="R37" s="737"/>
      <c r="W37" s="253"/>
      <c r="X37" s="740"/>
      <c r="Y37" s="740"/>
    </row>
    <row r="38" spans="1:25" x14ac:dyDescent="0.2">
      <c r="A38" s="146"/>
      <c r="B38" s="253"/>
      <c r="C38" s="253"/>
      <c r="D38" s="735"/>
      <c r="E38" s="735"/>
      <c r="F38" s="735"/>
      <c r="G38" s="735"/>
      <c r="H38" s="735"/>
      <c r="I38" s="735"/>
      <c r="J38" s="735"/>
      <c r="K38" s="736"/>
      <c r="L38" s="736"/>
      <c r="M38" s="736"/>
      <c r="N38" s="736"/>
      <c r="O38" s="736"/>
      <c r="P38" s="736"/>
      <c r="Q38" s="737"/>
      <c r="R38" s="737"/>
      <c r="W38" s="253"/>
      <c r="X38" s="740"/>
      <c r="Y38" s="740"/>
    </row>
    <row r="39" spans="1:25" x14ac:dyDescent="0.2">
      <c r="A39" s="146"/>
      <c r="B39" s="253"/>
      <c r="C39" s="253"/>
      <c r="D39" s="735"/>
      <c r="E39" s="735"/>
      <c r="F39" s="735"/>
      <c r="G39" s="735"/>
      <c r="H39" s="735"/>
      <c r="I39" s="735"/>
      <c r="J39" s="735"/>
      <c r="K39" s="736"/>
      <c r="L39" s="736"/>
      <c r="M39" s="736"/>
      <c r="N39" s="736"/>
      <c r="O39" s="736"/>
      <c r="P39" s="736"/>
      <c r="Q39" s="737"/>
      <c r="R39" s="737"/>
      <c r="W39" s="253"/>
      <c r="X39" s="740"/>
      <c r="Y39" s="740"/>
    </row>
    <row r="40" spans="1:25" x14ac:dyDescent="0.2">
      <c r="A40" s="146"/>
      <c r="B40" s="253"/>
      <c r="C40" s="253"/>
      <c r="D40" s="735"/>
      <c r="E40" s="735"/>
      <c r="F40" s="735"/>
      <c r="G40" s="735"/>
      <c r="H40" s="735"/>
      <c r="I40" s="735"/>
      <c r="J40" s="735"/>
      <c r="K40" s="736"/>
      <c r="L40" s="736"/>
      <c r="M40" s="736"/>
      <c r="N40" s="736"/>
      <c r="O40" s="736"/>
      <c r="P40" s="736"/>
      <c r="Q40" s="737"/>
      <c r="R40" s="737"/>
      <c r="W40" s="253"/>
      <c r="X40" s="740"/>
      <c r="Y40" s="740"/>
    </row>
    <row r="41" spans="1:25" x14ac:dyDescent="0.2">
      <c r="A41" s="146"/>
      <c r="B41" s="253"/>
      <c r="C41" s="253"/>
      <c r="D41" s="735"/>
      <c r="E41" s="735"/>
      <c r="F41" s="735"/>
      <c r="G41" s="735"/>
      <c r="H41" s="735"/>
      <c r="I41" s="735"/>
      <c r="J41" s="735"/>
      <c r="K41" s="736"/>
      <c r="L41" s="736"/>
      <c r="M41" s="736"/>
      <c r="N41" s="736"/>
      <c r="O41" s="736"/>
      <c r="P41" s="736"/>
      <c r="Q41" s="737"/>
      <c r="R41" s="737"/>
      <c r="W41" s="253"/>
      <c r="X41" s="740"/>
      <c r="Y41" s="740"/>
    </row>
    <row r="42" spans="1:25" x14ac:dyDescent="0.2">
      <c r="A42" s="146"/>
      <c r="B42" s="253"/>
      <c r="C42" s="253"/>
      <c r="D42" s="735"/>
      <c r="E42" s="735"/>
      <c r="F42" s="735"/>
      <c r="G42" s="735"/>
      <c r="H42" s="735"/>
      <c r="I42" s="735"/>
      <c r="J42" s="735"/>
      <c r="K42" s="736"/>
      <c r="L42" s="736"/>
      <c r="M42" s="736"/>
      <c r="N42" s="736"/>
      <c r="O42" s="736"/>
      <c r="P42" s="736"/>
      <c r="Q42" s="737"/>
      <c r="R42" s="737"/>
      <c r="W42" s="253"/>
      <c r="X42" s="740"/>
      <c r="Y42" s="740"/>
    </row>
    <row r="43" spans="1:25" x14ac:dyDescent="0.2">
      <c r="A43" s="146"/>
      <c r="B43" s="253"/>
      <c r="C43" s="253"/>
      <c r="D43" s="735"/>
      <c r="E43" s="735"/>
      <c r="F43" s="735"/>
      <c r="G43" s="735"/>
      <c r="H43" s="735"/>
      <c r="I43" s="735"/>
      <c r="J43" s="735"/>
      <c r="K43" s="736"/>
      <c r="L43" s="736"/>
      <c r="M43" s="736"/>
      <c r="N43" s="736"/>
      <c r="O43" s="736"/>
      <c r="P43" s="736"/>
      <c r="Q43" s="737"/>
      <c r="R43" s="737"/>
      <c r="W43" s="253"/>
      <c r="X43" s="740"/>
      <c r="Y43" s="740"/>
    </row>
    <row r="44" spans="1:25" x14ac:dyDescent="0.2">
      <c r="A44" s="146"/>
      <c r="B44" s="253"/>
      <c r="C44" s="253"/>
      <c r="D44" s="735"/>
      <c r="E44" s="735"/>
      <c r="F44" s="735"/>
      <c r="G44" s="735"/>
      <c r="H44" s="735"/>
      <c r="I44" s="735"/>
      <c r="J44" s="735"/>
      <c r="K44" s="736"/>
      <c r="L44" s="736"/>
      <c r="M44" s="736"/>
      <c r="N44" s="736"/>
      <c r="O44" s="736"/>
      <c r="P44" s="736"/>
      <c r="Q44" s="737"/>
      <c r="R44" s="737"/>
      <c r="W44" s="253"/>
      <c r="X44" s="740"/>
      <c r="Y44" s="740"/>
    </row>
    <row r="45" spans="1:25" x14ac:dyDescent="0.2">
      <c r="A45" s="146"/>
      <c r="B45" s="253"/>
      <c r="C45" s="253"/>
      <c r="D45" s="735"/>
      <c r="E45" s="735"/>
      <c r="F45" s="735"/>
      <c r="G45" s="735"/>
      <c r="H45" s="735"/>
      <c r="I45" s="735"/>
      <c r="J45" s="735"/>
      <c r="K45" s="736"/>
      <c r="L45" s="736"/>
      <c r="M45" s="736"/>
      <c r="N45" s="736"/>
      <c r="O45" s="736"/>
      <c r="P45" s="736"/>
      <c r="Q45" s="737"/>
      <c r="R45" s="737"/>
      <c r="W45" s="253"/>
      <c r="X45" s="740"/>
      <c r="Y45" s="740"/>
    </row>
    <row r="46" spans="1:25" x14ac:dyDescent="0.2">
      <c r="A46" s="146"/>
      <c r="B46" s="253"/>
      <c r="C46" s="253"/>
      <c r="D46" s="735"/>
      <c r="E46" s="735"/>
      <c r="F46" s="735"/>
      <c r="G46" s="735"/>
      <c r="H46" s="735"/>
      <c r="I46" s="735"/>
      <c r="J46" s="735"/>
      <c r="K46" s="736"/>
      <c r="L46" s="736"/>
      <c r="M46" s="736"/>
      <c r="N46" s="736"/>
      <c r="O46" s="736"/>
      <c r="P46" s="736"/>
      <c r="Q46" s="737"/>
      <c r="R46" s="737"/>
      <c r="W46" s="253"/>
      <c r="X46" s="740"/>
      <c r="Y46" s="740"/>
    </row>
    <row r="47" spans="1:25" x14ac:dyDescent="0.2">
      <c r="A47" s="146"/>
      <c r="B47" s="253"/>
      <c r="C47" s="253"/>
      <c r="D47" s="735"/>
      <c r="E47" s="735"/>
      <c r="F47" s="735"/>
      <c r="G47" s="735"/>
      <c r="H47" s="735"/>
      <c r="I47" s="735"/>
      <c r="J47" s="735"/>
      <c r="K47" s="736"/>
      <c r="L47" s="736"/>
      <c r="M47" s="736"/>
      <c r="N47" s="736"/>
      <c r="O47" s="736"/>
      <c r="P47" s="736"/>
      <c r="Q47" s="737"/>
      <c r="R47" s="737"/>
      <c r="W47" s="253"/>
      <c r="X47" s="740"/>
      <c r="Y47" s="740"/>
    </row>
    <row r="48" spans="1:25" x14ac:dyDescent="0.2">
      <c r="A48" s="146"/>
      <c r="B48" s="253"/>
      <c r="C48" s="253"/>
      <c r="D48" s="735"/>
      <c r="E48" s="735"/>
      <c r="F48" s="735"/>
      <c r="G48" s="735"/>
      <c r="H48" s="735"/>
      <c r="I48" s="735"/>
      <c r="J48" s="735"/>
      <c r="K48" s="736"/>
      <c r="L48" s="736"/>
      <c r="M48" s="736"/>
      <c r="N48" s="736"/>
      <c r="O48" s="736"/>
      <c r="P48" s="736"/>
      <c r="Q48" s="737"/>
      <c r="R48" s="737"/>
      <c r="W48" s="253"/>
      <c r="X48" s="740"/>
      <c r="Y48" s="740"/>
    </row>
    <row r="49" spans="1:25" x14ac:dyDescent="0.2">
      <c r="A49" s="146"/>
      <c r="B49" s="253"/>
      <c r="C49" s="253"/>
      <c r="D49" s="735"/>
      <c r="E49" s="735"/>
      <c r="F49" s="735"/>
      <c r="G49" s="735"/>
      <c r="H49" s="735"/>
      <c r="I49" s="735"/>
      <c r="J49" s="735"/>
      <c r="K49" s="736"/>
      <c r="L49" s="736"/>
      <c r="M49" s="736"/>
      <c r="N49" s="736"/>
      <c r="O49" s="736"/>
      <c r="P49" s="736"/>
      <c r="Q49" s="737"/>
      <c r="R49" s="737"/>
      <c r="W49" s="253"/>
      <c r="X49" s="740"/>
      <c r="Y49" s="740"/>
    </row>
    <row r="50" spans="1:25" x14ac:dyDescent="0.2">
      <c r="A50" s="146"/>
      <c r="B50" s="253"/>
      <c r="C50" s="253"/>
      <c r="D50" s="735"/>
      <c r="E50" s="735"/>
      <c r="F50" s="735"/>
      <c r="G50" s="735"/>
      <c r="H50" s="735"/>
      <c r="I50" s="735"/>
      <c r="J50" s="735"/>
      <c r="K50" s="736"/>
      <c r="L50" s="736"/>
      <c r="M50" s="736"/>
      <c r="N50" s="736"/>
      <c r="O50" s="736"/>
      <c r="P50" s="736"/>
      <c r="Q50" s="737"/>
      <c r="R50" s="737"/>
      <c r="W50" s="253"/>
      <c r="X50" s="740"/>
      <c r="Y50" s="740"/>
    </row>
    <row r="51" spans="1:25" x14ac:dyDescent="0.2">
      <c r="A51" s="146"/>
      <c r="B51" s="253"/>
      <c r="C51" s="253"/>
      <c r="D51" s="735"/>
      <c r="E51" s="735"/>
      <c r="F51" s="735"/>
      <c r="G51" s="735"/>
      <c r="H51" s="735"/>
      <c r="I51" s="735"/>
      <c r="J51" s="735"/>
      <c r="K51" s="736"/>
      <c r="L51" s="736"/>
      <c r="M51" s="736"/>
      <c r="N51" s="736"/>
      <c r="O51" s="736"/>
      <c r="P51" s="736"/>
      <c r="Q51" s="737"/>
      <c r="R51" s="737"/>
      <c r="W51" s="253"/>
      <c r="X51" s="740"/>
      <c r="Y51" s="740"/>
    </row>
    <row r="52" spans="1:25" x14ac:dyDescent="0.2">
      <c r="A52" s="146"/>
      <c r="B52" s="253"/>
      <c r="C52" s="253"/>
      <c r="D52" s="735"/>
      <c r="E52" s="735"/>
      <c r="F52" s="735"/>
      <c r="G52" s="735"/>
      <c r="H52" s="735"/>
      <c r="I52" s="735"/>
      <c r="J52" s="735"/>
      <c r="K52" s="736"/>
      <c r="L52" s="736"/>
      <c r="M52" s="736"/>
      <c r="N52" s="736"/>
      <c r="O52" s="736"/>
      <c r="P52" s="736"/>
      <c r="Q52" s="737"/>
      <c r="R52" s="737"/>
      <c r="W52" s="253"/>
      <c r="X52" s="740"/>
      <c r="Y52" s="740"/>
    </row>
    <row r="53" spans="1:25" x14ac:dyDescent="0.2">
      <c r="A53" s="146"/>
      <c r="B53" s="253"/>
      <c r="C53" s="253"/>
      <c r="D53" s="735"/>
      <c r="E53" s="735"/>
      <c r="F53" s="735"/>
      <c r="G53" s="735"/>
      <c r="H53" s="735"/>
      <c r="I53" s="735"/>
      <c r="J53" s="735"/>
      <c r="K53" s="736"/>
      <c r="L53" s="736"/>
      <c r="M53" s="736"/>
      <c r="N53" s="736"/>
      <c r="O53" s="736"/>
      <c r="P53" s="736"/>
      <c r="Q53" s="737"/>
      <c r="R53" s="737"/>
      <c r="W53" s="253"/>
      <c r="X53" s="740"/>
      <c r="Y53" s="740"/>
    </row>
    <row r="54" spans="1:25" x14ac:dyDescent="0.2">
      <c r="A54" s="146"/>
      <c r="B54" s="253"/>
      <c r="C54" s="253"/>
      <c r="D54" s="735"/>
      <c r="E54" s="735"/>
      <c r="F54" s="735"/>
      <c r="G54" s="735"/>
      <c r="H54" s="735"/>
      <c r="I54" s="735"/>
      <c r="J54" s="735"/>
      <c r="K54" s="736"/>
      <c r="L54" s="736"/>
      <c r="M54" s="736"/>
      <c r="N54" s="736"/>
      <c r="O54" s="736"/>
      <c r="P54" s="736"/>
      <c r="Q54" s="737"/>
      <c r="R54" s="737"/>
      <c r="W54" s="253"/>
      <c r="X54" s="740"/>
      <c r="Y54" s="740"/>
    </row>
    <row r="55" spans="1:25" x14ac:dyDescent="0.2">
      <c r="A55" s="146"/>
      <c r="B55" s="253"/>
      <c r="C55" s="253"/>
      <c r="D55" s="735"/>
      <c r="E55" s="735"/>
      <c r="F55" s="735"/>
      <c r="G55" s="735"/>
      <c r="H55" s="735"/>
      <c r="I55" s="735"/>
      <c r="J55" s="735"/>
      <c r="K55" s="736"/>
      <c r="L55" s="736"/>
      <c r="M55" s="736"/>
      <c r="N55" s="736"/>
      <c r="O55" s="736"/>
      <c r="P55" s="736"/>
      <c r="Q55" s="737"/>
      <c r="R55" s="737"/>
      <c r="W55" s="253"/>
      <c r="X55" s="740"/>
      <c r="Y55" s="740"/>
    </row>
    <row r="56" spans="1:25" x14ac:dyDescent="0.2">
      <c r="A56" s="146"/>
      <c r="B56" s="253"/>
      <c r="C56" s="253"/>
      <c r="D56" s="735"/>
      <c r="E56" s="735"/>
      <c r="F56" s="735"/>
      <c r="G56" s="735"/>
      <c r="H56" s="735"/>
      <c r="I56" s="735"/>
      <c r="J56" s="735"/>
      <c r="K56" s="736"/>
      <c r="L56" s="736"/>
      <c r="M56" s="736"/>
      <c r="N56" s="736"/>
      <c r="O56" s="736"/>
      <c r="P56" s="736"/>
      <c r="Q56" s="737"/>
      <c r="R56" s="737"/>
      <c r="W56" s="253"/>
      <c r="X56" s="740"/>
      <c r="Y56" s="740"/>
    </row>
    <row r="57" spans="1:25" x14ac:dyDescent="0.2">
      <c r="A57" s="146"/>
      <c r="B57" s="253"/>
      <c r="C57" s="253"/>
      <c r="D57" s="735"/>
      <c r="E57" s="735"/>
      <c r="F57" s="735"/>
      <c r="G57" s="735"/>
      <c r="H57" s="735"/>
      <c r="I57" s="735"/>
      <c r="J57" s="735"/>
      <c r="K57" s="736"/>
      <c r="L57" s="736"/>
      <c r="M57" s="736"/>
      <c r="N57" s="736"/>
      <c r="O57" s="736"/>
      <c r="P57" s="736"/>
      <c r="Q57" s="737"/>
      <c r="R57" s="737"/>
      <c r="W57" s="253"/>
      <c r="X57" s="740"/>
      <c r="Y57" s="740"/>
    </row>
    <row r="58" spans="1:25" x14ac:dyDescent="0.2">
      <c r="A58" s="146"/>
      <c r="B58" s="253"/>
      <c r="C58" s="253"/>
      <c r="D58" s="735"/>
      <c r="E58" s="735"/>
      <c r="F58" s="735"/>
      <c r="G58" s="735"/>
      <c r="H58" s="735"/>
      <c r="I58" s="735"/>
      <c r="J58" s="735"/>
      <c r="K58" s="736"/>
      <c r="L58" s="736"/>
      <c r="M58" s="736"/>
      <c r="N58" s="736"/>
      <c r="O58" s="736"/>
      <c r="P58" s="736"/>
      <c r="Q58" s="737"/>
      <c r="R58" s="737"/>
      <c r="W58" s="253"/>
      <c r="X58" s="740"/>
      <c r="Y58" s="740"/>
    </row>
    <row r="59" spans="1:25" x14ac:dyDescent="0.2">
      <c r="A59" s="146"/>
      <c r="B59" s="253"/>
      <c r="C59" s="253"/>
      <c r="D59" s="735"/>
      <c r="E59" s="735"/>
      <c r="F59" s="735"/>
      <c r="G59" s="735"/>
      <c r="H59" s="735"/>
      <c r="I59" s="735"/>
      <c r="J59" s="735"/>
      <c r="K59" s="736"/>
      <c r="L59" s="736"/>
      <c r="M59" s="736"/>
      <c r="N59" s="736"/>
      <c r="O59" s="736"/>
      <c r="P59" s="736"/>
      <c r="Q59" s="737"/>
      <c r="R59" s="737"/>
      <c r="W59" s="253"/>
      <c r="X59" s="740"/>
      <c r="Y59" s="740"/>
    </row>
    <row r="60" spans="1:25" ht="18" x14ac:dyDescent="0.2">
      <c r="A60" s="738"/>
      <c r="B60" s="253"/>
      <c r="C60" s="253"/>
      <c r="D60" s="735"/>
      <c r="E60" s="735"/>
      <c r="F60" s="735"/>
      <c r="G60" s="735"/>
      <c r="H60" s="735"/>
      <c r="I60" s="735"/>
      <c r="J60" s="735"/>
      <c r="K60" s="736"/>
      <c r="L60" s="736"/>
      <c r="M60" s="736"/>
      <c r="N60" s="736"/>
      <c r="O60" s="736"/>
      <c r="P60" s="736"/>
      <c r="Q60" s="737"/>
      <c r="R60" s="737"/>
      <c r="W60" s="253"/>
      <c r="X60" s="740"/>
      <c r="Y60" s="740"/>
    </row>
    <row r="61" spans="1:25" ht="18" x14ac:dyDescent="0.2">
      <c r="A61" s="738"/>
      <c r="B61" s="253"/>
      <c r="C61" s="253"/>
      <c r="D61" s="735"/>
      <c r="E61" s="735"/>
      <c r="F61" s="735"/>
      <c r="G61" s="735"/>
      <c r="H61" s="735"/>
      <c r="I61" s="735"/>
      <c r="J61" s="735"/>
      <c r="K61" s="736"/>
      <c r="L61" s="736"/>
      <c r="M61" s="736"/>
      <c r="N61" s="736"/>
      <c r="O61" s="736"/>
      <c r="P61" s="736"/>
      <c r="Q61" s="737"/>
      <c r="R61" s="737"/>
      <c r="W61" s="253"/>
      <c r="X61" s="740"/>
      <c r="Y61" s="740"/>
    </row>
    <row r="62" spans="1:25" ht="18" x14ac:dyDescent="0.2">
      <c r="A62" s="738"/>
      <c r="B62" s="253"/>
      <c r="C62" s="253"/>
      <c r="D62" s="735"/>
      <c r="E62" s="735"/>
      <c r="F62" s="735"/>
      <c r="G62" s="735"/>
      <c r="H62" s="735"/>
      <c r="I62" s="735"/>
      <c r="J62" s="735"/>
      <c r="K62" s="736"/>
      <c r="L62" s="736"/>
      <c r="M62" s="736"/>
      <c r="N62" s="736"/>
      <c r="O62" s="736"/>
      <c r="P62" s="736"/>
      <c r="Q62" s="737"/>
      <c r="R62" s="737"/>
      <c r="W62" s="253"/>
      <c r="X62" s="740"/>
      <c r="Y62" s="740"/>
    </row>
    <row r="63" spans="1:25" ht="18" x14ac:dyDescent="0.2">
      <c r="A63" s="738"/>
      <c r="B63" s="253"/>
      <c r="C63" s="253"/>
      <c r="D63" s="735"/>
      <c r="E63" s="735"/>
      <c r="F63" s="735"/>
      <c r="G63" s="735"/>
      <c r="H63" s="735"/>
      <c r="I63" s="735"/>
      <c r="J63" s="735"/>
      <c r="K63" s="736"/>
      <c r="L63" s="736"/>
      <c r="M63" s="736"/>
      <c r="N63" s="736"/>
      <c r="O63" s="736"/>
      <c r="P63" s="736"/>
      <c r="Q63" s="737"/>
      <c r="R63" s="737"/>
      <c r="W63" s="253"/>
      <c r="X63" s="740"/>
      <c r="Y63" s="740"/>
    </row>
    <row r="64" spans="1:25" ht="18" x14ac:dyDescent="0.2">
      <c r="A64" s="738"/>
      <c r="B64" s="253"/>
      <c r="C64" s="253"/>
      <c r="D64" s="735"/>
      <c r="E64" s="735"/>
      <c r="F64" s="735"/>
      <c r="G64" s="735"/>
      <c r="H64" s="735"/>
      <c r="I64" s="735"/>
      <c r="J64" s="735"/>
      <c r="K64" s="736"/>
      <c r="L64" s="736"/>
      <c r="M64" s="736"/>
      <c r="N64" s="736"/>
      <c r="O64" s="736"/>
      <c r="P64" s="736"/>
      <c r="Q64" s="737"/>
      <c r="R64" s="737"/>
      <c r="W64" s="253"/>
      <c r="X64" s="740"/>
      <c r="Y64" s="740"/>
    </row>
    <row r="65" spans="1:42" ht="18" x14ac:dyDescent="0.2">
      <c r="A65" s="738"/>
      <c r="B65" s="253"/>
      <c r="C65" s="253"/>
      <c r="D65" s="735"/>
      <c r="E65" s="735"/>
      <c r="F65" s="735"/>
      <c r="G65" s="735"/>
      <c r="H65" s="735"/>
      <c r="I65" s="735"/>
      <c r="J65" s="735"/>
      <c r="K65" s="736"/>
      <c r="L65" s="736"/>
      <c r="M65" s="736"/>
      <c r="N65" s="736"/>
      <c r="O65" s="736"/>
      <c r="P65" s="736"/>
      <c r="Q65" s="737"/>
      <c r="R65" s="737"/>
      <c r="W65" s="253"/>
      <c r="X65" s="740"/>
      <c r="Y65" s="740"/>
    </row>
    <row r="66" spans="1:42" ht="18" x14ac:dyDescent="0.2">
      <c r="A66" s="738"/>
      <c r="B66" s="253"/>
      <c r="C66" s="253"/>
      <c r="D66" s="735"/>
      <c r="E66" s="735"/>
      <c r="F66" s="735"/>
      <c r="G66" s="735"/>
      <c r="H66" s="735"/>
      <c r="I66" s="735"/>
      <c r="J66" s="735"/>
      <c r="K66" s="736"/>
      <c r="L66" s="736"/>
      <c r="M66" s="736"/>
      <c r="N66" s="736"/>
      <c r="O66" s="736"/>
      <c r="P66" s="736"/>
      <c r="Q66" s="737"/>
      <c r="R66" s="737"/>
      <c r="W66" s="253"/>
      <c r="X66" s="740"/>
      <c r="Y66" s="740"/>
    </row>
    <row r="67" spans="1:42" ht="18" x14ac:dyDescent="0.2">
      <c r="A67" s="738"/>
      <c r="B67" s="253"/>
      <c r="C67" s="253"/>
      <c r="D67" s="735"/>
      <c r="E67" s="735"/>
      <c r="F67" s="735"/>
      <c r="G67" s="735"/>
      <c r="H67" s="735"/>
      <c r="I67" s="735"/>
      <c r="J67" s="735"/>
      <c r="K67" s="736"/>
      <c r="L67" s="736"/>
      <c r="M67" s="736"/>
      <c r="N67" s="736"/>
      <c r="O67" s="736"/>
      <c r="P67" s="736"/>
      <c r="Q67" s="737"/>
      <c r="R67" s="737"/>
      <c r="W67" s="253"/>
      <c r="X67" s="740"/>
      <c r="Y67" s="740"/>
    </row>
    <row r="68" spans="1:42" ht="18" x14ac:dyDescent="0.2">
      <c r="A68" s="738"/>
      <c r="B68" s="253"/>
      <c r="C68" s="253"/>
      <c r="D68" s="735"/>
      <c r="E68" s="735"/>
      <c r="F68" s="735"/>
      <c r="G68" s="735"/>
      <c r="H68" s="735"/>
      <c r="I68" s="735"/>
      <c r="J68" s="735"/>
      <c r="K68" s="736"/>
      <c r="L68" s="736"/>
      <c r="M68" s="736"/>
      <c r="N68" s="736"/>
      <c r="O68" s="736"/>
      <c r="P68" s="736"/>
      <c r="Q68" s="737"/>
      <c r="R68" s="737"/>
      <c r="W68" s="253"/>
      <c r="X68" s="740"/>
      <c r="Y68" s="740"/>
    </row>
    <row r="69" spans="1:42" ht="18" x14ac:dyDescent="0.2">
      <c r="A69" s="738"/>
      <c r="B69" s="253"/>
      <c r="C69" s="253"/>
      <c r="D69" s="735"/>
      <c r="E69" s="735"/>
      <c r="F69" s="735"/>
      <c r="G69" s="735"/>
      <c r="H69" s="735"/>
      <c r="I69" s="735"/>
      <c r="J69" s="735"/>
      <c r="K69" s="736"/>
      <c r="L69" s="736"/>
      <c r="M69" s="736"/>
      <c r="N69" s="736"/>
      <c r="O69" s="736"/>
      <c r="P69" s="736"/>
      <c r="Q69" s="737"/>
      <c r="R69" s="737"/>
      <c r="W69" s="253"/>
      <c r="X69" s="740"/>
      <c r="Y69" s="740"/>
    </row>
    <row r="70" spans="1:42" ht="18" x14ac:dyDescent="0.2">
      <c r="A70" s="738"/>
      <c r="B70" s="253"/>
      <c r="C70" s="253"/>
      <c r="D70" s="735"/>
      <c r="E70" s="735"/>
      <c r="F70" s="735"/>
      <c r="G70" s="735"/>
      <c r="H70" s="735"/>
      <c r="I70" s="735"/>
      <c r="J70" s="735"/>
      <c r="K70" s="736"/>
      <c r="L70" s="736"/>
      <c r="M70" s="736"/>
      <c r="N70" s="736"/>
      <c r="O70" s="736"/>
      <c r="P70" s="736"/>
      <c r="Q70" s="737"/>
      <c r="R70" s="737"/>
      <c r="W70" s="253"/>
      <c r="X70" s="740"/>
      <c r="Y70" s="740"/>
    </row>
    <row r="71" spans="1:42" ht="18" x14ac:dyDescent="0.2">
      <c r="A71" s="738"/>
      <c r="B71" s="253"/>
      <c r="C71" s="253"/>
      <c r="D71" s="735"/>
      <c r="E71" s="735"/>
      <c r="F71" s="735"/>
      <c r="G71" s="735"/>
      <c r="H71" s="735"/>
      <c r="I71" s="735"/>
      <c r="J71" s="735"/>
      <c r="K71" s="736"/>
      <c r="L71" s="736"/>
      <c r="M71" s="736"/>
      <c r="N71" s="736"/>
      <c r="O71" s="736"/>
      <c r="P71" s="736"/>
      <c r="Q71" s="737"/>
      <c r="R71" s="737"/>
      <c r="W71" s="253"/>
      <c r="X71" s="740"/>
      <c r="Y71" s="740"/>
    </row>
    <row r="72" spans="1:42" ht="18" x14ac:dyDescent="0.2">
      <c r="A72" s="738"/>
      <c r="B72" s="253"/>
      <c r="C72" s="253"/>
      <c r="D72" s="735"/>
      <c r="E72" s="735"/>
      <c r="F72" s="735"/>
      <c r="G72" s="735"/>
      <c r="H72" s="735"/>
      <c r="I72" s="735"/>
      <c r="J72" s="735"/>
      <c r="K72" s="736"/>
      <c r="L72" s="736"/>
      <c r="M72" s="736"/>
      <c r="N72" s="736"/>
      <c r="O72" s="736"/>
      <c r="P72" s="736"/>
      <c r="Q72" s="737"/>
      <c r="R72" s="737"/>
      <c r="W72" s="253"/>
      <c r="X72" s="740"/>
      <c r="Y72" s="740"/>
    </row>
    <row r="73" spans="1:42" ht="18" x14ac:dyDescent="0.2">
      <c r="A73" s="738"/>
      <c r="B73" s="253"/>
      <c r="C73" s="253"/>
      <c r="D73" s="735"/>
      <c r="E73" s="735"/>
      <c r="F73" s="735"/>
      <c r="G73" s="735"/>
      <c r="H73" s="735"/>
      <c r="I73" s="735"/>
      <c r="J73" s="735"/>
      <c r="K73" s="736"/>
      <c r="L73" s="736"/>
      <c r="M73" s="736"/>
      <c r="N73" s="736"/>
      <c r="O73" s="736"/>
      <c r="P73" s="736"/>
      <c r="Q73" s="737"/>
      <c r="R73" s="737"/>
      <c r="W73" s="253"/>
      <c r="X73" s="740"/>
      <c r="Y73" s="740"/>
    </row>
    <row r="74" spans="1:42" s="257" customFormat="1" ht="7.5" customHeight="1" x14ac:dyDescent="0.2">
      <c r="A74" s="738"/>
      <c r="B74" s="253"/>
      <c r="C74" s="253"/>
      <c r="D74" s="739"/>
      <c r="E74" s="739"/>
      <c r="F74" s="739"/>
      <c r="G74" s="739"/>
      <c r="H74" s="739"/>
      <c r="I74" s="739"/>
      <c r="J74" s="739"/>
      <c r="K74" s="739"/>
      <c r="L74" s="739"/>
      <c r="M74" s="739"/>
      <c r="N74" s="739"/>
      <c r="O74" s="739"/>
      <c r="P74" s="739"/>
      <c r="Q74" s="732"/>
      <c r="R74" s="253"/>
      <c r="W74" s="253"/>
      <c r="X74" s="253"/>
      <c r="Y74" s="253"/>
    </row>
    <row r="75" spans="1:42" ht="18" x14ac:dyDescent="0.2">
      <c r="A75" s="738"/>
      <c r="B75" s="253"/>
      <c r="C75" s="253"/>
      <c r="D75" s="253"/>
      <c r="E75" s="253"/>
      <c r="F75" s="253"/>
      <c r="G75" s="253"/>
      <c r="H75" s="253"/>
      <c r="I75" s="253"/>
      <c r="J75" s="253"/>
      <c r="K75" s="253"/>
      <c r="L75" s="253"/>
      <c r="M75" s="253"/>
      <c r="N75" s="253"/>
      <c r="O75" s="253"/>
      <c r="P75" s="253"/>
      <c r="Q75" s="253"/>
      <c r="R75" s="253"/>
      <c r="S75" s="372"/>
      <c r="T75" s="372"/>
      <c r="U75" s="372"/>
      <c r="V75" s="1201"/>
      <c r="W75" s="253"/>
      <c r="X75" s="253"/>
      <c r="Y75" s="253"/>
      <c r="Z75" s="372"/>
      <c r="AA75" s="372"/>
      <c r="AB75" s="372"/>
      <c r="AC75" s="372"/>
      <c r="AD75" s="372"/>
      <c r="AE75" s="372"/>
      <c r="AF75" s="372"/>
      <c r="AG75" s="372"/>
      <c r="AH75" s="372"/>
      <c r="AI75" s="372"/>
      <c r="AJ75" s="372"/>
      <c r="AK75" s="372"/>
      <c r="AL75" s="372"/>
      <c r="AM75" s="372"/>
      <c r="AN75" s="372"/>
      <c r="AO75" s="372"/>
    </row>
    <row r="76" spans="1:42" ht="18" x14ac:dyDescent="0.2">
      <c r="A76" s="738"/>
      <c r="B76" s="253"/>
      <c r="C76" s="253"/>
      <c r="D76" s="253"/>
      <c r="E76" s="253"/>
      <c r="F76" s="253"/>
      <c r="G76" s="253"/>
      <c r="H76" s="253"/>
      <c r="I76" s="253"/>
      <c r="J76" s="253"/>
      <c r="K76" s="253"/>
      <c r="L76" s="253"/>
      <c r="M76" s="253"/>
      <c r="N76" s="253"/>
      <c r="O76" s="253"/>
      <c r="P76" s="253"/>
      <c r="Q76" s="253"/>
      <c r="R76" s="253"/>
      <c r="S76" s="372"/>
      <c r="T76" s="372"/>
      <c r="U76" s="372"/>
      <c r="V76" s="1201"/>
      <c r="W76" s="253"/>
      <c r="X76" s="253"/>
      <c r="Y76" s="253"/>
      <c r="Z76" s="372"/>
      <c r="AA76" s="372"/>
      <c r="AB76" s="372"/>
      <c r="AC76" s="372"/>
      <c r="AD76" s="372"/>
      <c r="AE76" s="372"/>
      <c r="AF76" s="372"/>
      <c r="AG76" s="372"/>
      <c r="AH76" s="372"/>
      <c r="AI76" s="372"/>
      <c r="AJ76" s="372"/>
      <c r="AK76" s="372"/>
      <c r="AL76" s="372"/>
      <c r="AM76" s="372"/>
      <c r="AN76" s="372"/>
      <c r="AO76" s="372"/>
      <c r="AP76" s="372"/>
    </row>
    <row r="77" spans="1:42" ht="18" x14ac:dyDescent="0.2">
      <c r="A77" s="738"/>
      <c r="B77" s="253"/>
      <c r="C77" s="253"/>
      <c r="D77" s="253"/>
      <c r="E77" s="253"/>
      <c r="F77" s="253"/>
      <c r="G77" s="253"/>
      <c r="H77" s="253"/>
      <c r="I77" s="253"/>
      <c r="J77" s="253"/>
      <c r="K77" s="253"/>
      <c r="L77" s="253"/>
      <c r="M77" s="253"/>
      <c r="N77" s="253"/>
      <c r="O77" s="253"/>
      <c r="P77" s="253"/>
      <c r="Q77" s="253"/>
      <c r="R77" s="253"/>
      <c r="W77" s="253"/>
      <c r="X77" s="253"/>
      <c r="Y77" s="253"/>
    </row>
    <row r="78" spans="1:42" ht="18" x14ac:dyDescent="0.2">
      <c r="A78" s="738"/>
      <c r="B78" s="253"/>
      <c r="C78" s="253"/>
      <c r="D78" s="253"/>
      <c r="E78" s="253"/>
      <c r="F78" s="253"/>
      <c r="G78" s="253"/>
      <c r="H78" s="253"/>
      <c r="I78" s="253"/>
      <c r="J78" s="253"/>
      <c r="K78" s="253"/>
      <c r="L78" s="253"/>
      <c r="M78" s="253"/>
      <c r="N78" s="253"/>
      <c r="O78" s="253"/>
      <c r="P78" s="253"/>
      <c r="Q78" s="253"/>
      <c r="R78" s="253"/>
      <c r="W78" s="253"/>
      <c r="X78" s="253"/>
      <c r="Y78" s="253"/>
    </row>
    <row r="79" spans="1:42" ht="18" x14ac:dyDescent="0.2">
      <c r="A79" s="738"/>
      <c r="B79" s="253"/>
      <c r="C79" s="253"/>
      <c r="D79" s="253"/>
      <c r="E79" s="253"/>
      <c r="F79" s="253"/>
      <c r="G79" s="253"/>
      <c r="H79" s="253"/>
      <c r="I79" s="253"/>
      <c r="J79" s="253"/>
      <c r="K79" s="253"/>
      <c r="L79" s="253"/>
      <c r="M79" s="253"/>
      <c r="N79" s="253"/>
      <c r="O79" s="253"/>
      <c r="P79" s="253"/>
      <c r="Q79" s="253"/>
      <c r="R79" s="253"/>
      <c r="W79" s="253"/>
      <c r="X79" s="253"/>
      <c r="Y79" s="253"/>
    </row>
    <row r="80" spans="1:42" ht="18" x14ac:dyDescent="0.2">
      <c r="A80" s="738"/>
      <c r="B80" s="253"/>
      <c r="C80" s="253"/>
      <c r="D80" s="253"/>
      <c r="E80" s="253"/>
      <c r="F80" s="253"/>
      <c r="G80" s="253"/>
      <c r="H80" s="253"/>
      <c r="I80" s="253"/>
      <c r="J80" s="253"/>
      <c r="K80" s="253"/>
      <c r="L80" s="253"/>
      <c r="M80" s="253"/>
      <c r="N80" s="253"/>
      <c r="O80" s="253"/>
      <c r="P80" s="253"/>
      <c r="Q80" s="253"/>
      <c r="R80" s="253"/>
      <c r="W80" s="253"/>
      <c r="X80" s="253"/>
      <c r="Y80" s="253"/>
    </row>
    <row r="81" spans="1:25" ht="18" x14ac:dyDescent="0.2">
      <c r="A81" s="738"/>
      <c r="B81" s="253"/>
      <c r="C81" s="253"/>
      <c r="D81" s="253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3"/>
      <c r="P81" s="253"/>
      <c r="Q81" s="253"/>
      <c r="R81" s="253"/>
      <c r="W81" s="253"/>
      <c r="X81" s="253"/>
      <c r="Y81" s="253"/>
    </row>
    <row r="82" spans="1:25" ht="18" x14ac:dyDescent="0.2">
      <c r="A82" s="738"/>
      <c r="B82" s="253"/>
      <c r="C82" s="253"/>
      <c r="D82" s="253"/>
      <c r="E82" s="253"/>
      <c r="F82" s="253"/>
      <c r="G82" s="253"/>
      <c r="H82" s="253"/>
      <c r="I82" s="253"/>
      <c r="J82" s="253"/>
      <c r="K82" s="253"/>
      <c r="L82" s="253"/>
      <c r="M82" s="253"/>
      <c r="N82" s="253"/>
      <c r="O82" s="253"/>
      <c r="P82" s="253"/>
      <c r="Q82" s="253"/>
      <c r="R82" s="253"/>
      <c r="W82" s="253"/>
      <c r="X82" s="253"/>
      <c r="Y82" s="253"/>
    </row>
    <row r="83" spans="1:25" ht="18" x14ac:dyDescent="0.2">
      <c r="A83" s="738"/>
      <c r="B83" s="253"/>
      <c r="C83" s="253"/>
      <c r="D83" s="253"/>
      <c r="E83" s="253"/>
      <c r="F83" s="253"/>
      <c r="G83" s="253"/>
      <c r="H83" s="253"/>
      <c r="I83" s="253"/>
      <c r="J83" s="253"/>
      <c r="K83" s="253"/>
      <c r="L83" s="253"/>
      <c r="M83" s="253"/>
      <c r="N83" s="253"/>
      <c r="O83" s="253"/>
      <c r="P83" s="253"/>
      <c r="Q83" s="253"/>
      <c r="R83" s="253"/>
      <c r="W83" s="253"/>
      <c r="X83" s="253"/>
      <c r="Y83" s="253"/>
    </row>
    <row r="84" spans="1:25" ht="18" x14ac:dyDescent="0.2">
      <c r="A84" s="738"/>
      <c r="B84" s="253"/>
      <c r="C84" s="253"/>
      <c r="D84" s="253"/>
      <c r="E84" s="253"/>
      <c r="F84" s="253"/>
      <c r="G84" s="253"/>
      <c r="H84" s="253"/>
      <c r="I84" s="253"/>
      <c r="J84" s="253"/>
      <c r="K84" s="253"/>
      <c r="L84" s="253"/>
      <c r="M84" s="253"/>
      <c r="N84" s="253"/>
      <c r="O84" s="253"/>
      <c r="P84" s="253"/>
      <c r="Q84" s="253"/>
      <c r="R84" s="253"/>
      <c r="W84" s="253"/>
      <c r="X84" s="253"/>
      <c r="Y84" s="253"/>
    </row>
    <row r="85" spans="1:25" ht="18" x14ac:dyDescent="0.2">
      <c r="A85" s="738"/>
      <c r="B85" s="253"/>
      <c r="C85" s="253"/>
      <c r="D85" s="253"/>
      <c r="E85" s="253"/>
      <c r="F85" s="253"/>
      <c r="G85" s="253"/>
      <c r="H85" s="253"/>
      <c r="I85" s="253"/>
      <c r="J85" s="253"/>
      <c r="K85" s="253"/>
      <c r="L85" s="253"/>
      <c r="M85" s="253"/>
      <c r="N85" s="253"/>
      <c r="O85" s="253"/>
      <c r="P85" s="253"/>
      <c r="Q85" s="253"/>
      <c r="R85" s="253"/>
      <c r="W85" s="253"/>
      <c r="X85" s="253"/>
      <c r="Y85" s="253"/>
    </row>
    <row r="86" spans="1:25" ht="18" x14ac:dyDescent="0.2">
      <c r="A86" s="738"/>
      <c r="B86" s="253"/>
      <c r="C86" s="253"/>
      <c r="D86" s="253"/>
      <c r="E86" s="253"/>
      <c r="F86" s="253"/>
      <c r="G86" s="253"/>
      <c r="H86" s="253"/>
      <c r="I86" s="253"/>
      <c r="J86" s="253"/>
      <c r="K86" s="253"/>
      <c r="L86" s="253"/>
      <c r="M86" s="253"/>
      <c r="N86" s="253"/>
      <c r="O86" s="253"/>
      <c r="P86" s="253"/>
      <c r="Q86" s="253"/>
      <c r="R86" s="253"/>
    </row>
    <row r="87" spans="1:25" ht="18" x14ac:dyDescent="0.2">
      <c r="A87" s="738"/>
      <c r="B87" s="253"/>
      <c r="C87" s="253"/>
      <c r="D87" s="253"/>
      <c r="E87" s="253"/>
      <c r="F87" s="253"/>
      <c r="G87" s="253"/>
      <c r="H87" s="253"/>
      <c r="I87" s="253"/>
      <c r="J87" s="253"/>
      <c r="K87" s="253"/>
      <c r="L87" s="253"/>
      <c r="M87" s="253"/>
      <c r="N87" s="253"/>
      <c r="O87" s="253"/>
      <c r="P87" s="253"/>
      <c r="Q87" s="253"/>
      <c r="R87" s="253"/>
    </row>
    <row r="88" spans="1:25" ht="18" x14ac:dyDescent="0.2">
      <c r="A88" s="738"/>
      <c r="B88" s="253"/>
      <c r="C88" s="253"/>
      <c r="D88" s="253"/>
      <c r="E88" s="253"/>
      <c r="F88" s="253"/>
      <c r="G88" s="253"/>
      <c r="H88" s="253"/>
      <c r="I88" s="253"/>
      <c r="J88" s="253"/>
      <c r="K88" s="253"/>
      <c r="L88" s="253"/>
      <c r="M88" s="253"/>
      <c r="N88" s="253"/>
      <c r="O88" s="253"/>
      <c r="P88" s="253"/>
      <c r="Q88" s="253"/>
      <c r="R88" s="253"/>
    </row>
    <row r="89" spans="1:25" ht="18" x14ac:dyDescent="0.2">
      <c r="A89" s="738"/>
      <c r="B89" s="253"/>
      <c r="C89" s="253"/>
      <c r="D89" s="253"/>
      <c r="E89" s="253"/>
      <c r="F89" s="253"/>
      <c r="G89" s="253"/>
      <c r="H89" s="253"/>
      <c r="I89" s="253"/>
      <c r="J89" s="253"/>
      <c r="K89" s="253"/>
      <c r="L89" s="253"/>
      <c r="M89" s="253"/>
      <c r="N89" s="253"/>
      <c r="O89" s="253"/>
      <c r="P89" s="253"/>
      <c r="Q89" s="253"/>
      <c r="R89" s="253"/>
    </row>
    <row r="90" spans="1:25" ht="18" x14ac:dyDescent="0.2">
      <c r="A90" s="738"/>
      <c r="B90" s="253"/>
      <c r="C90" s="253"/>
      <c r="D90" s="253"/>
      <c r="E90" s="253"/>
      <c r="F90" s="253"/>
      <c r="G90" s="253"/>
      <c r="H90" s="253"/>
      <c r="I90" s="253"/>
      <c r="J90" s="253"/>
      <c r="K90" s="253"/>
      <c r="L90" s="253"/>
      <c r="M90" s="253"/>
      <c r="N90" s="253"/>
      <c r="O90" s="253"/>
      <c r="P90" s="253"/>
      <c r="Q90" s="253"/>
      <c r="R90" s="253"/>
    </row>
    <row r="91" spans="1:25" ht="18" x14ac:dyDescent="0.2">
      <c r="A91" s="110"/>
    </row>
    <row r="92" spans="1:25" ht="18" x14ac:dyDescent="0.2">
      <c r="A92" s="110"/>
    </row>
    <row r="93" spans="1:25" ht="18" x14ac:dyDescent="0.2">
      <c r="A93" s="110"/>
    </row>
    <row r="94" spans="1:25" ht="18" x14ac:dyDescent="0.2">
      <c r="A94" s="110"/>
    </row>
    <row r="101" spans="1:1" ht="15" thickBot="1" x14ac:dyDescent="0.25">
      <c r="A101" s="111"/>
    </row>
    <row r="106" spans="1:1" x14ac:dyDescent="0.2">
      <c r="A106" s="114"/>
    </row>
    <row r="108" spans="1:1" x14ac:dyDescent="0.2">
      <c r="A108" s="116" t="s">
        <v>14</v>
      </c>
    </row>
    <row r="109" spans="1:1" x14ac:dyDescent="0.2">
      <c r="A109" s="121" t="s">
        <v>39</v>
      </c>
    </row>
    <row r="110" spans="1:1" x14ac:dyDescent="0.2">
      <c r="A110" s="58" t="s">
        <v>13</v>
      </c>
    </row>
    <row r="111" spans="1:1" x14ac:dyDescent="0.2">
      <c r="A111" s="58" t="s">
        <v>14</v>
      </c>
    </row>
    <row r="112" spans="1:1" x14ac:dyDescent="0.2">
      <c r="A112" s="126" t="s">
        <v>39</v>
      </c>
    </row>
    <row r="113" spans="1:1" x14ac:dyDescent="0.2">
      <c r="A113" s="67" t="s">
        <v>8</v>
      </c>
    </row>
    <row r="115" spans="1:1" x14ac:dyDescent="0.2">
      <c r="A115" s="58" t="s">
        <v>13</v>
      </c>
    </row>
    <row r="116" spans="1:1" x14ac:dyDescent="0.2">
      <c r="A116" s="130" t="s">
        <v>14</v>
      </c>
    </row>
    <row r="117" spans="1:1" x14ac:dyDescent="0.2">
      <c r="A117" s="126" t="s">
        <v>39</v>
      </c>
    </row>
    <row r="118" spans="1:1" x14ac:dyDescent="0.2">
      <c r="A118" s="67" t="s">
        <v>8</v>
      </c>
    </row>
    <row r="120" spans="1:1" x14ac:dyDescent="0.2">
      <c r="A120" s="58" t="s">
        <v>13</v>
      </c>
    </row>
    <row r="121" spans="1:1" x14ac:dyDescent="0.2">
      <c r="A121" s="130" t="s">
        <v>14</v>
      </c>
    </row>
    <row r="122" spans="1:1" x14ac:dyDescent="0.2">
      <c r="A122" s="126" t="s">
        <v>39</v>
      </c>
    </row>
    <row r="123" spans="1:1" x14ac:dyDescent="0.2">
      <c r="A123" s="67" t="s">
        <v>8</v>
      </c>
    </row>
    <row r="125" spans="1:1" x14ac:dyDescent="0.2">
      <c r="A125" s="58" t="s">
        <v>13</v>
      </c>
    </row>
    <row r="126" spans="1:1" x14ac:dyDescent="0.2">
      <c r="A126" s="130" t="s">
        <v>14</v>
      </c>
    </row>
    <row r="127" spans="1:1" x14ac:dyDescent="0.2">
      <c r="A127" s="126" t="s">
        <v>39</v>
      </c>
    </row>
    <row r="128" spans="1:1" x14ac:dyDescent="0.2">
      <c r="A128" s="67" t="s">
        <v>8</v>
      </c>
    </row>
    <row r="130" spans="1:1" x14ac:dyDescent="0.2">
      <c r="A130" s="58" t="s">
        <v>13</v>
      </c>
    </row>
    <row r="131" spans="1:1" x14ac:dyDescent="0.2">
      <c r="A131" s="130" t="s">
        <v>14</v>
      </c>
    </row>
    <row r="132" spans="1:1" x14ac:dyDescent="0.2">
      <c r="A132" s="126" t="s">
        <v>39</v>
      </c>
    </row>
    <row r="133" spans="1:1" x14ac:dyDescent="0.2">
      <c r="A133" s="67" t="s">
        <v>8</v>
      </c>
    </row>
    <row r="135" spans="1:1" x14ac:dyDescent="0.2">
      <c r="A135" s="58" t="s">
        <v>13</v>
      </c>
    </row>
    <row r="136" spans="1:1" x14ac:dyDescent="0.2">
      <c r="A136" s="130" t="s">
        <v>14</v>
      </c>
    </row>
    <row r="137" spans="1:1" x14ac:dyDescent="0.2">
      <c r="A137" s="126" t="s">
        <v>39</v>
      </c>
    </row>
    <row r="138" spans="1:1" x14ac:dyDescent="0.2">
      <c r="A138" s="67" t="s">
        <v>8</v>
      </c>
    </row>
    <row r="140" spans="1:1" x14ac:dyDescent="0.2">
      <c r="A140" s="58" t="s">
        <v>13</v>
      </c>
    </row>
    <row r="141" spans="1:1" x14ac:dyDescent="0.2">
      <c r="A141" s="58" t="s">
        <v>14</v>
      </c>
    </row>
    <row r="142" spans="1:1" x14ac:dyDescent="0.2">
      <c r="A142" s="126" t="s">
        <v>39</v>
      </c>
    </row>
    <row r="143" spans="1:1" x14ac:dyDescent="0.2">
      <c r="A143" s="67" t="s">
        <v>8</v>
      </c>
    </row>
    <row r="148" spans="1:1" x14ac:dyDescent="0.2">
      <c r="A148" s="31" t="s">
        <v>57</v>
      </c>
    </row>
    <row r="149" spans="1:1" x14ac:dyDescent="0.2">
      <c r="A149" s="58" t="s">
        <v>13</v>
      </c>
    </row>
    <row r="150" spans="1:1" x14ac:dyDescent="0.2">
      <c r="A150" s="58" t="s">
        <v>14</v>
      </c>
    </row>
    <row r="151" spans="1:1" x14ac:dyDescent="0.2">
      <c r="A151" s="130" t="s">
        <v>14</v>
      </c>
    </row>
    <row r="152" spans="1:1" x14ac:dyDescent="0.2">
      <c r="A152" s="121" t="s">
        <v>39</v>
      </c>
    </row>
  </sheetData>
  <conditionalFormatting sqref="K28:P73">
    <cfRule type="expression" dxfId="107" priority="1">
      <formula>K28&gt;0</formula>
    </cfRule>
  </conditionalFormatting>
  <conditionalFormatting sqref="E70 D74:F74 D62:E62 E47:E53 G62:J62 I70:J70 I47:J53 G40:J46 G47:H56 G57:J60 D40:E46 D47:D56 D57:E60 D63:J66 D33:J38 F40:F54 D29:J31 F56:F60">
    <cfRule type="expression" dxfId="106" priority="678">
      <formula>#REF!&gt;=100</formula>
    </cfRule>
  </conditionalFormatting>
  <conditionalFormatting sqref="G74:J74">
    <cfRule type="expression" dxfId="105" priority="696">
      <formula>#REF!&gt;=100</formula>
    </cfRule>
  </conditionalFormatting>
  <conditionalFormatting sqref="O74:P74">
    <cfRule type="expression" dxfId="104" priority="697">
      <formula>#REF!&gt;=100</formula>
    </cfRule>
  </conditionalFormatting>
  <hyperlinks>
    <hyperlink ref="A6" location="КАФЕДРА!R21C106" display="← на общую страницу"/>
  </hyperlinks>
  <pageMargins left="0.23622047244094491" right="0.23622047244094491" top="0.35433070866141736" bottom="0.35433070866141736" header="0" footer="0"/>
  <pageSetup paperSize="9" scale="57" orientation="landscape"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33CC33"/>
  </sheetPr>
  <dimension ref="A1:AM78"/>
  <sheetViews>
    <sheetView topLeftCell="A4" zoomScale="80" zoomScaleNormal="80" workbookViewId="0">
      <selection activeCell="Q27" sqref="Q27"/>
    </sheetView>
  </sheetViews>
  <sheetFormatPr defaultColWidth="9.140625" defaultRowHeight="14.25" x14ac:dyDescent="0.2"/>
  <cols>
    <col min="1" max="1" width="50.7109375" style="182" customWidth="1"/>
    <col min="2" max="2" width="16.7109375" style="182" customWidth="1"/>
    <col min="3" max="3" width="8" style="182" customWidth="1"/>
    <col min="4" max="5" width="9.28515625" style="182" customWidth="1"/>
    <col min="6" max="6" width="9.7109375" style="182" customWidth="1"/>
    <col min="7" max="7" width="9.42578125" style="182" customWidth="1"/>
    <col min="8" max="8" width="9.85546875" style="182" customWidth="1"/>
    <col min="9" max="9" width="8.42578125" style="182" customWidth="1"/>
    <col min="10" max="10" width="8.7109375" style="182" customWidth="1"/>
    <col min="11" max="11" width="8.85546875" style="182" customWidth="1"/>
    <col min="12" max="12" width="9.7109375" style="182" customWidth="1"/>
    <col min="13" max="13" width="7.85546875" style="182" hidden="1" customWidth="1"/>
    <col min="14" max="14" width="12.5703125" style="182" hidden="1" customWidth="1"/>
    <col min="15" max="17" width="9.140625" style="182"/>
    <col min="18" max="18" width="2.140625" style="402" customWidth="1"/>
    <col min="19" max="20" width="0" style="182" hidden="1" customWidth="1"/>
    <col min="21" max="21" width="20.140625" style="182" hidden="1" customWidth="1"/>
    <col min="22" max="16384" width="9.140625" style="182"/>
  </cols>
  <sheetData>
    <row r="1" spans="1:21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257"/>
      <c r="E1" s="257"/>
      <c r="F1" s="257"/>
      <c r="G1" s="257"/>
      <c r="H1" s="257"/>
      <c r="I1" s="257"/>
      <c r="J1" s="257"/>
      <c r="K1" s="257"/>
      <c r="L1" s="674"/>
      <c r="M1" s="181"/>
      <c r="U1" s="711">
        <v>185</v>
      </c>
    </row>
    <row r="2" spans="1:21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</row>
    <row r="3" spans="1:21" hidden="1" x14ac:dyDescent="0.2"/>
    <row r="4" spans="1:21" s="293" customFormat="1" x14ac:dyDescent="0.2">
      <c r="R4" s="402"/>
    </row>
    <row r="5" spans="1:21" ht="22.5" x14ac:dyDescent="0.3">
      <c r="A5" s="209" t="s">
        <v>695</v>
      </c>
      <c r="D5" s="183"/>
      <c r="H5" s="677"/>
      <c r="I5" s="257"/>
      <c r="J5" s="675"/>
      <c r="K5" s="678"/>
      <c r="L5" s="183"/>
    </row>
    <row r="6" spans="1:21" ht="17.25" customHeight="1" x14ac:dyDescent="0.35">
      <c r="A6" s="183" t="s">
        <v>76</v>
      </c>
      <c r="D6" s="386" t="s">
        <v>299</v>
      </c>
      <c r="H6" s="257"/>
      <c r="I6" s="257"/>
      <c r="J6" s="257"/>
      <c r="K6" s="257"/>
    </row>
    <row r="7" spans="1:21" ht="18" x14ac:dyDescent="0.25">
      <c r="A7" s="477" t="s">
        <v>242</v>
      </c>
      <c r="D7" s="185" t="s">
        <v>488</v>
      </c>
      <c r="H7" s="257"/>
      <c r="I7" s="257"/>
      <c r="J7" s="257"/>
      <c r="K7" s="257"/>
    </row>
    <row r="8" spans="1:21" ht="15" customHeight="1" x14ac:dyDescent="0.2">
      <c r="A8" s="444">
        <f ca="1">NOW()</f>
        <v>45929.466219097223</v>
      </c>
      <c r="D8" s="676"/>
      <c r="E8" s="676"/>
      <c r="F8" s="676"/>
      <c r="G8" s="676"/>
      <c r="H8" s="676"/>
      <c r="I8" s="676"/>
      <c r="J8" s="676"/>
      <c r="K8" s="676"/>
      <c r="L8" s="676"/>
    </row>
    <row r="9" spans="1:21" ht="19.5" customHeight="1" x14ac:dyDescent="0.2">
      <c r="A9" s="387" t="str">
        <f>ТИТУЛ!$B$22&amp;" квартал "&amp;ТИТУЛ!$D$22&amp;" года"</f>
        <v>2 квартал 2024 года</v>
      </c>
      <c r="D9" s="2340"/>
      <c r="E9" s="2340"/>
      <c r="F9" s="2340"/>
      <c r="G9" s="2340"/>
      <c r="H9" s="2340"/>
      <c r="I9" s="2340"/>
      <c r="J9" s="2340"/>
      <c r="K9" s="2340"/>
      <c r="L9" s="1084"/>
      <c r="M9" s="1083"/>
    </row>
    <row r="10" spans="1:21" ht="13.5" hidden="1" customHeight="1" x14ac:dyDescent="0.2">
      <c r="A10" s="1214"/>
      <c r="B10" s="419"/>
      <c r="C10" s="419"/>
      <c r="D10" s="419"/>
      <c r="E10" s="419"/>
      <c r="F10" s="419"/>
      <c r="G10" s="419"/>
      <c r="H10" s="419"/>
      <c r="I10" s="419"/>
      <c r="J10" s="419"/>
      <c r="K10" s="419"/>
      <c r="L10" s="419"/>
    </row>
    <row r="11" spans="1:21" ht="13.5" hidden="1" customHeight="1" x14ac:dyDescent="0.2">
      <c r="A11" s="1214"/>
      <c r="B11" s="419"/>
      <c r="C11" s="257" t="s">
        <v>536</v>
      </c>
      <c r="D11" s="275">
        <v>7</v>
      </c>
      <c r="E11" s="275">
        <v>5</v>
      </c>
      <c r="F11" s="275">
        <v>3</v>
      </c>
      <c r="G11" s="275">
        <v>1</v>
      </c>
      <c r="H11" s="275">
        <v>2</v>
      </c>
      <c r="I11" s="275">
        <v>3</v>
      </c>
      <c r="J11" s="275">
        <v>5</v>
      </c>
      <c r="K11" s="275">
        <v>7</v>
      </c>
      <c r="L11" s="1213">
        <v>1</v>
      </c>
    </row>
    <row r="12" spans="1:21" ht="64.5" customHeight="1" x14ac:dyDescent="0.2">
      <c r="A12" s="257"/>
      <c r="B12" s="257"/>
      <c r="C12" s="257"/>
      <c r="D12" s="2341" t="s">
        <v>478</v>
      </c>
      <c r="E12" s="2217"/>
      <c r="F12" s="2342"/>
      <c r="G12" s="257"/>
      <c r="H12" s="257"/>
      <c r="I12" s="257"/>
      <c r="J12" s="257"/>
      <c r="K12" s="257"/>
      <c r="L12" s="257"/>
      <c r="M12" s="257"/>
    </row>
    <row r="13" spans="1:21" ht="198.75" customHeight="1" x14ac:dyDescent="0.2">
      <c r="A13" s="191" t="str">
        <f>КАФЕДРА!A10</f>
        <v>Наименование кафедры</v>
      </c>
      <c r="B13" s="385" t="s">
        <v>327</v>
      </c>
      <c r="C13" s="192" t="s">
        <v>320</v>
      </c>
      <c r="D13" s="663" t="s">
        <v>479</v>
      </c>
      <c r="E13" s="663" t="s">
        <v>480</v>
      </c>
      <c r="F13" s="681" t="s">
        <v>481</v>
      </c>
      <c r="G13" s="664" t="s">
        <v>482</v>
      </c>
      <c r="H13" s="679" t="s">
        <v>483</v>
      </c>
      <c r="I13" s="679" t="s">
        <v>484</v>
      </c>
      <c r="J13" s="679" t="s">
        <v>485</v>
      </c>
      <c r="K13" s="679" t="s">
        <v>486</v>
      </c>
      <c r="L13" s="663" t="s">
        <v>487</v>
      </c>
      <c r="M13" s="1082" t="s">
        <v>537</v>
      </c>
      <c r="N13" s="690" t="s">
        <v>6</v>
      </c>
      <c r="S13" s="709" t="s">
        <v>53</v>
      </c>
      <c r="T13" s="709" t="s">
        <v>58</v>
      </c>
      <c r="U13" s="710" t="s">
        <v>41</v>
      </c>
    </row>
    <row r="14" spans="1:21" ht="14.25" hidden="1" customHeight="1" x14ac:dyDescent="0.2">
      <c r="A14" s="195"/>
      <c r="B14" s="195"/>
      <c r="C14" s="195"/>
      <c r="D14" s="195"/>
      <c r="E14" s="195"/>
      <c r="F14" s="523"/>
      <c r="G14" s="195"/>
      <c r="H14" s="195"/>
      <c r="I14" s="195"/>
      <c r="J14" s="195"/>
      <c r="K14" s="195"/>
      <c r="L14" s="195"/>
    </row>
    <row r="15" spans="1:21" ht="14.25" hidden="1" customHeight="1" x14ac:dyDescent="0.2">
      <c r="A15" s="195"/>
      <c r="B15" s="195"/>
      <c r="C15" s="195"/>
      <c r="D15" s="195"/>
      <c r="E15" s="195"/>
      <c r="F15" s="523"/>
      <c r="G15" s="195"/>
      <c r="H15" s="195"/>
      <c r="I15" s="195"/>
      <c r="J15" s="195"/>
      <c r="K15" s="195"/>
      <c r="L15" s="195"/>
    </row>
    <row r="16" spans="1:21" ht="14.25" hidden="1" customHeight="1" x14ac:dyDescent="0.2">
      <c r="A16" s="195"/>
      <c r="B16" s="195"/>
      <c r="C16" s="195"/>
      <c r="D16" s="195"/>
      <c r="E16" s="195"/>
      <c r="F16" s="523"/>
      <c r="G16" s="195"/>
      <c r="H16" s="195"/>
      <c r="I16" s="195"/>
      <c r="J16" s="195"/>
      <c r="K16" s="195"/>
      <c r="L16" s="195"/>
    </row>
    <row r="17" spans="1:39" ht="3.75" hidden="1" customHeight="1" x14ac:dyDescent="0.2">
      <c r="A17" s="195"/>
      <c r="B17" s="195"/>
      <c r="C17" s="195"/>
      <c r="D17" s="195"/>
      <c r="E17" s="195"/>
      <c r="F17" s="523"/>
      <c r="G17" s="195"/>
      <c r="H17" s="195"/>
      <c r="I17" s="195"/>
      <c r="J17" s="195"/>
      <c r="K17" s="195"/>
      <c r="L17" s="195"/>
    </row>
    <row r="18" spans="1:39" ht="6.75" customHeight="1" thickBot="1" x14ac:dyDescent="0.25">
      <c r="A18" s="197"/>
      <c r="B18" s="197"/>
      <c r="C18" s="197"/>
      <c r="D18" s="197"/>
      <c r="E18" s="197"/>
      <c r="F18" s="524"/>
      <c r="G18" s="197"/>
      <c r="H18" s="197"/>
      <c r="I18" s="197"/>
      <c r="J18" s="197"/>
      <c r="K18" s="197"/>
      <c r="L18" s="197"/>
      <c r="M18" s="199"/>
      <c r="N18" s="199"/>
      <c r="S18" s="199"/>
      <c r="T18" s="199"/>
      <c r="U18" s="189"/>
    </row>
    <row r="19" spans="1:39" ht="15" thickBot="1" x14ac:dyDescent="0.25">
      <c r="A19" s="1186" t="str">
        <f>КАФЕДРА!A19</f>
        <v>сумма по кафедрам (проверочная)</v>
      </c>
      <c r="B19" s="1186"/>
      <c r="C19" s="1187">
        <f>SUM(C$20:C$75)</f>
        <v>0</v>
      </c>
      <c r="D19" s="1187">
        <f t="shared" ref="D19:L19" si="0">SUM(D$20:D$77)</f>
        <v>0</v>
      </c>
      <c r="E19" s="1187">
        <f t="shared" si="0"/>
        <v>0</v>
      </c>
      <c r="F19" s="1239">
        <f t="shared" si="0"/>
        <v>0</v>
      </c>
      <c r="G19" s="1240">
        <f t="shared" si="0"/>
        <v>0</v>
      </c>
      <c r="H19" s="1187">
        <f t="shared" si="0"/>
        <v>0</v>
      </c>
      <c r="I19" s="1187">
        <f t="shared" si="0"/>
        <v>0</v>
      </c>
      <c r="J19" s="1187">
        <f t="shared" si="0"/>
        <v>0</v>
      </c>
      <c r="K19" s="1187">
        <f t="shared" si="0"/>
        <v>0</v>
      </c>
      <c r="L19" s="1187">
        <f t="shared" si="0"/>
        <v>0</v>
      </c>
      <c r="M19" s="1493">
        <f>SUM(M20:M77)/COUNT(M20:M77)</f>
        <v>0</v>
      </c>
      <c r="N19" s="1494">
        <f>M19/7*100</f>
        <v>0</v>
      </c>
      <c r="S19" s="1495">
        <f t="shared" ref="S19:S50" si="1">M19</f>
        <v>0</v>
      </c>
      <c r="T19" s="1495">
        <f>7</f>
        <v>7</v>
      </c>
      <c r="U19" s="1495">
        <f>IF(S19=0,0,TEXT(S19/T19*100,"0,0")&amp;"%
="&amp;TEXT(S19,"0,0")&amp;"/"&amp;TEXT(T19,"0,0"))</f>
        <v>0</v>
      </c>
    </row>
    <row r="20" spans="1:39" ht="15" customHeight="1" thickBot="1" x14ac:dyDescent="0.25">
      <c r="A20" s="582" t="str">
        <f>IF(LEN(КАФЕДРА!A20)&gt;2,КАФЕДРА!A20,"")</f>
        <v>Акушерства и гинекологии с курсом ДПО</v>
      </c>
      <c r="B20" s="1185" t="str">
        <f>КАФЕДРА!$D20</f>
        <v>КМЕДИЦИНЫ</v>
      </c>
      <c r="C20" s="370">
        <f>IF(LEN(Кадры!$A20)&gt;2,Кадры!$E20,0)</f>
        <v>0</v>
      </c>
      <c r="D20" s="1807"/>
      <c r="E20" s="1807"/>
      <c r="F20" s="1784"/>
      <c r="G20" s="1813"/>
      <c r="H20" s="1808"/>
      <c r="I20" s="1807"/>
      <c r="J20" s="1807"/>
      <c r="K20" s="1807"/>
      <c r="L20" s="1809"/>
      <c r="M20" s="1204">
        <f t="shared" ref="M20:M51" si="2">IF(SUMPRODUCT(D20:L20,$D$11:$L$11)&gt;7,7,SUMPRODUCT(D20:L20,$D$11:$L$11))</f>
        <v>0</v>
      </c>
      <c r="N20" s="1360">
        <f t="shared" ref="N20:N51" si="3">IF(M20=7,100,M20/7*100)</f>
        <v>0</v>
      </c>
      <c r="S20" s="370">
        <f t="shared" si="1"/>
        <v>0</v>
      </c>
      <c r="T20" s="1206">
        <f>7</f>
        <v>7</v>
      </c>
      <c r="U20" s="1215" t="str">
        <f>IF(T20=0,0,TEXT(S20/T20*100,"0,0")&amp;"%
="&amp;TEXT(S20,"0,0")&amp;"/"&amp;TEXT(T20,"0,0"))</f>
        <v>0,0%
=0,0/7,0</v>
      </c>
      <c r="AM20" s="262"/>
    </row>
    <row r="21" spans="1:39" ht="15" customHeight="1" thickBot="1" x14ac:dyDescent="0.25">
      <c r="A21" s="551" t="str">
        <f>IF(LEN(КАФЕДРА!A21)&gt;2,КАФЕДРА!A21,"")</f>
        <v>Анатомии</v>
      </c>
      <c r="B21" s="442" t="str">
        <f>КАФЕДРА!$D21</f>
        <v>КМЕДИЦИНЫ</v>
      </c>
      <c r="C21" s="186">
        <f>IF(LEN(Кадры!$A21)&gt;2,Кадры!$E21,0)</f>
        <v>0</v>
      </c>
      <c r="D21" s="1797"/>
      <c r="E21" s="1797"/>
      <c r="F21" s="1786"/>
      <c r="G21" s="1810"/>
      <c r="H21" s="1798"/>
      <c r="I21" s="1797"/>
      <c r="J21" s="1797"/>
      <c r="K21" s="1797"/>
      <c r="L21" s="1790"/>
      <c r="M21" s="428">
        <f t="shared" si="2"/>
        <v>0</v>
      </c>
      <c r="N21" s="202">
        <f t="shared" si="3"/>
        <v>0</v>
      </c>
      <c r="S21" s="186">
        <f t="shared" si="1"/>
        <v>0</v>
      </c>
      <c r="T21" s="708">
        <f>7</f>
        <v>7</v>
      </c>
      <c r="U21" s="1215" t="str">
        <f t="shared" ref="U21:U77" si="4">IF(T21=0,0,TEXT(S21/T21*100,"0,0")&amp;"%
="&amp;TEXT(S21,"0,0")&amp;"/"&amp;TEXT(T21,"0,0"))</f>
        <v>0,0%
=0,0/7,0</v>
      </c>
    </row>
    <row r="22" spans="1:39" ht="15" customHeight="1" thickBot="1" x14ac:dyDescent="0.25">
      <c r="A22" s="551" t="str">
        <f>IF(LEN(КАФЕДРА!A22)&gt;2,КАФЕДРА!A22,"")</f>
        <v>Анестезиологии и реаниматологии с курсом ДПО</v>
      </c>
      <c r="B22" s="442" t="str">
        <f>КАФЕДРА!$D22</f>
        <v>КМЕДИЦИНЫ</v>
      </c>
      <c r="C22" s="186">
        <f>IF(LEN(Кадры!$A22)&gt;2,Кадры!$E22,0)</f>
        <v>0</v>
      </c>
      <c r="D22" s="1797"/>
      <c r="E22" s="1797"/>
      <c r="F22" s="1786"/>
      <c r="G22" s="1810"/>
      <c r="H22" s="1798"/>
      <c r="I22" s="1797"/>
      <c r="J22" s="1797"/>
      <c r="K22" s="1797"/>
      <c r="L22" s="1790"/>
      <c r="M22" s="428">
        <f t="shared" si="2"/>
        <v>0</v>
      </c>
      <c r="N22" s="202">
        <f t="shared" si="3"/>
        <v>0</v>
      </c>
      <c r="S22" s="186">
        <f t="shared" si="1"/>
        <v>0</v>
      </c>
      <c r="T22" s="708">
        <f>7</f>
        <v>7</v>
      </c>
      <c r="U22" s="1215" t="str">
        <f t="shared" si="4"/>
        <v>0,0%
=0,0/7,0</v>
      </c>
    </row>
    <row r="23" spans="1:39" ht="15" customHeight="1" thickBot="1" x14ac:dyDescent="0.25">
      <c r="A23" s="551" t="str">
        <f>IF(LEN(КАФЕДРА!A23)&gt;2,КАФЕДРА!A23,"")</f>
        <v>Госпитальной терапии и эндокринологии</v>
      </c>
      <c r="B23" s="442" t="str">
        <f>КАФЕДРА!$D23</f>
        <v>КМЕДИЦИНЫ</v>
      </c>
      <c r="C23" s="186">
        <f>IF(LEN(Кадры!$A23)&gt;2,Кадры!$E23,0)</f>
        <v>0</v>
      </c>
      <c r="D23" s="1797"/>
      <c r="E23" s="1797"/>
      <c r="F23" s="1786"/>
      <c r="G23" s="1810"/>
      <c r="H23" s="1798"/>
      <c r="I23" s="1797"/>
      <c r="J23" s="1797"/>
      <c r="K23" s="1797"/>
      <c r="L23" s="1790"/>
      <c r="M23" s="428">
        <f t="shared" si="2"/>
        <v>0</v>
      </c>
      <c r="N23" s="202">
        <f t="shared" si="3"/>
        <v>0</v>
      </c>
      <c r="S23" s="186">
        <f t="shared" si="1"/>
        <v>0</v>
      </c>
      <c r="T23" s="708">
        <f>7</f>
        <v>7</v>
      </c>
      <c r="U23" s="1215" t="str">
        <f t="shared" si="4"/>
        <v>0,0%
=0,0/7,0</v>
      </c>
    </row>
    <row r="24" spans="1:39" ht="15" customHeight="1" thickBot="1" x14ac:dyDescent="0.25">
      <c r="A24" s="551" t="str">
        <f>IF(LEN(КАФЕДРА!A24)&gt;2,КАФЕДРА!A24,"")</f>
        <v>Госпитальной хирургии</v>
      </c>
      <c r="B24" s="442" t="str">
        <f>КАФЕДРА!$D24</f>
        <v>КМЕДИЦИНЫ</v>
      </c>
      <c r="C24" s="186">
        <f>IF(LEN(Кадры!$A24)&gt;2,Кадры!$E24,0)</f>
        <v>0</v>
      </c>
      <c r="D24" s="1797"/>
      <c r="E24" s="1797"/>
      <c r="F24" s="1786"/>
      <c r="G24" s="1810"/>
      <c r="H24" s="1798"/>
      <c r="I24" s="1797"/>
      <c r="J24" s="1797"/>
      <c r="K24" s="1797"/>
      <c r="L24" s="1790"/>
      <c r="M24" s="428">
        <f t="shared" si="2"/>
        <v>0</v>
      </c>
      <c r="N24" s="202">
        <f t="shared" si="3"/>
        <v>0</v>
      </c>
      <c r="S24" s="186">
        <f t="shared" si="1"/>
        <v>0</v>
      </c>
      <c r="T24" s="708">
        <f>7</f>
        <v>7</v>
      </c>
      <c r="U24" s="1215" t="str">
        <f t="shared" si="4"/>
        <v>0,0%
=0,0/7,0</v>
      </c>
    </row>
    <row r="25" spans="1:39" ht="15" customHeight="1" thickBot="1" x14ac:dyDescent="0.25">
      <c r="A25" s="551" t="str">
        <f>IF(LEN(КАФЕДРА!A25)&gt;2,КАФЕДРА!A25,"")</f>
        <v>Неврологии и Нейрохирургии с курсом ДПО</v>
      </c>
      <c r="B25" s="442" t="str">
        <f>КАФЕДРА!$D25</f>
        <v>КМЕДИЦИНЫ</v>
      </c>
      <c r="C25" s="186">
        <f>IF(LEN(Кадры!$A25)&gt;2,Кадры!$E25,0)</f>
        <v>0</v>
      </c>
      <c r="D25" s="1797"/>
      <c r="E25" s="1797"/>
      <c r="F25" s="1786"/>
      <c r="G25" s="1810"/>
      <c r="H25" s="1798"/>
      <c r="I25" s="1797"/>
      <c r="J25" s="1797"/>
      <c r="K25" s="1797"/>
      <c r="L25" s="1790"/>
      <c r="M25" s="428">
        <f t="shared" si="2"/>
        <v>0</v>
      </c>
      <c r="N25" s="202">
        <f t="shared" si="3"/>
        <v>0</v>
      </c>
      <c r="S25" s="186">
        <f t="shared" si="1"/>
        <v>0</v>
      </c>
      <c r="T25" s="708">
        <f>7</f>
        <v>7</v>
      </c>
      <c r="U25" s="1215" t="str">
        <f t="shared" si="4"/>
        <v>0,0%
=0,0/7,0</v>
      </c>
    </row>
    <row r="26" spans="1:39" ht="15" customHeight="1" thickBot="1" x14ac:dyDescent="0.25">
      <c r="A26" s="551" t="str">
        <f>IF(LEN(КАФЕДРА!A26)&gt;2,КАФЕДРА!A26,"")</f>
        <v>Нормальной физиологии</v>
      </c>
      <c r="B26" s="442" t="str">
        <f>КАФЕДРА!$D26</f>
        <v>КМЕДИЦИНЫ</v>
      </c>
      <c r="C26" s="186">
        <f>IF(LEN(Кадры!$A26)&gt;2,Кадры!$E26,0)</f>
        <v>0</v>
      </c>
      <c r="D26" s="1797"/>
      <c r="E26" s="1797"/>
      <c r="F26" s="1786"/>
      <c r="G26" s="1810"/>
      <c r="H26" s="1798"/>
      <c r="I26" s="1797"/>
      <c r="J26" s="1797"/>
      <c r="K26" s="1797"/>
      <c r="L26" s="1790"/>
      <c r="M26" s="428">
        <f t="shared" si="2"/>
        <v>0</v>
      </c>
      <c r="N26" s="202">
        <f t="shared" si="3"/>
        <v>0</v>
      </c>
      <c r="S26" s="186">
        <f t="shared" si="1"/>
        <v>0</v>
      </c>
      <c r="T26" s="708">
        <f>7</f>
        <v>7</v>
      </c>
      <c r="U26" s="1215" t="str">
        <f t="shared" si="4"/>
        <v>0,0%
=0,0/7,0</v>
      </c>
    </row>
    <row r="27" spans="1:39" ht="15" customHeight="1" thickBot="1" x14ac:dyDescent="0.25">
      <c r="A27" s="551" t="str">
        <f>IF(LEN(КАФЕДРА!A27)&gt;2,КАФЕДРА!A27,"")</f>
        <v>Общей хирургии, оперативной хирургии и топографической анатомии</v>
      </c>
      <c r="B27" s="442" t="str">
        <f>КАФЕДРА!$D27</f>
        <v>КМЕДИЦИНЫ</v>
      </c>
      <c r="C27" s="186">
        <f>IF(LEN(Кадры!$A27)&gt;2,Кадры!$E27,0)</f>
        <v>0</v>
      </c>
      <c r="D27" s="1797"/>
      <c r="E27" s="1797"/>
      <c r="F27" s="1786"/>
      <c r="G27" s="1810"/>
      <c r="H27" s="1798"/>
      <c r="I27" s="1797"/>
      <c r="J27" s="1797"/>
      <c r="K27" s="1797"/>
      <c r="L27" s="1790"/>
      <c r="M27" s="428">
        <f t="shared" si="2"/>
        <v>0</v>
      </c>
      <c r="N27" s="202">
        <f t="shared" si="3"/>
        <v>0</v>
      </c>
      <c r="S27" s="186">
        <f t="shared" si="1"/>
        <v>0</v>
      </c>
      <c r="T27" s="708">
        <f>7</f>
        <v>7</v>
      </c>
      <c r="U27" s="1215" t="str">
        <f t="shared" si="4"/>
        <v>0,0%
=0,0/7,0</v>
      </c>
    </row>
    <row r="28" spans="1:39" ht="15" customHeight="1" thickBot="1" x14ac:dyDescent="0.25">
      <c r="A28" s="551" t="str">
        <f>IF(LEN(КАФЕДРА!A28)&gt;2,КАФЕДРА!A28,"")</f>
        <v>Оториноларингологии с курсом ДПО</v>
      </c>
      <c r="B28" s="442" t="str">
        <f>КАФЕДРА!$D28</f>
        <v>КМЕДИЦИНЫ</v>
      </c>
      <c r="C28" s="186">
        <f>IF(LEN(Кадры!$A28)&gt;2,Кадры!$E28,0)</f>
        <v>0</v>
      </c>
      <c r="D28" s="1797"/>
      <c r="E28" s="1797"/>
      <c r="F28" s="1786"/>
      <c r="G28" s="1810"/>
      <c r="H28" s="1798"/>
      <c r="I28" s="1797"/>
      <c r="J28" s="1797"/>
      <c r="K28" s="1797"/>
      <c r="L28" s="1790"/>
      <c r="M28" s="428">
        <f t="shared" si="2"/>
        <v>0</v>
      </c>
      <c r="N28" s="202">
        <f t="shared" si="3"/>
        <v>0</v>
      </c>
      <c r="S28" s="186">
        <f t="shared" si="1"/>
        <v>0</v>
      </c>
      <c r="T28" s="708">
        <f>7</f>
        <v>7</v>
      </c>
      <c r="U28" s="1215" t="str">
        <f t="shared" si="4"/>
        <v>0,0%
=0,0/7,0</v>
      </c>
    </row>
    <row r="29" spans="1:39" ht="15" customHeight="1" thickBot="1" x14ac:dyDescent="0.25">
      <c r="A29" s="551" t="str">
        <f>IF(LEN(КАФЕДРА!A29)&gt;2,КАФЕДРА!A29,"")</f>
        <v>Поликлинической терапии</v>
      </c>
      <c r="B29" s="442" t="str">
        <f>КАФЕДРА!$D29</f>
        <v>КМЕДИЦИНЫ</v>
      </c>
      <c r="C29" s="186">
        <f>IF(LEN(Кадры!$A29)&gt;2,Кадры!$E29,0)</f>
        <v>0</v>
      </c>
      <c r="D29" s="1797"/>
      <c r="E29" s="1797"/>
      <c r="F29" s="1786"/>
      <c r="G29" s="1810"/>
      <c r="H29" s="1798"/>
      <c r="I29" s="1797"/>
      <c r="J29" s="1797"/>
      <c r="K29" s="1797"/>
      <c r="L29" s="1790"/>
      <c r="M29" s="428">
        <f t="shared" si="2"/>
        <v>0</v>
      </c>
      <c r="N29" s="202">
        <f t="shared" si="3"/>
        <v>0</v>
      </c>
      <c r="S29" s="186">
        <f t="shared" si="1"/>
        <v>0</v>
      </c>
      <c r="T29" s="708">
        <f>7</f>
        <v>7</v>
      </c>
      <c r="U29" s="1215" t="str">
        <f t="shared" si="4"/>
        <v>0,0%
=0,0/7,0</v>
      </c>
    </row>
    <row r="30" spans="1:39" ht="15" customHeight="1" thickBot="1" x14ac:dyDescent="0.25">
      <c r="A30" s="551" t="str">
        <f>IF(LEN(КАФЕДРА!A30)&gt;2,КАФЕДРА!A30,"")</f>
        <v>Пропедевтики внутренних болезней имени профессора З.С. Баркагана</v>
      </c>
      <c r="B30" s="442" t="str">
        <f>КАФЕДРА!$D30</f>
        <v>КМЕДИЦИНЫ</v>
      </c>
      <c r="C30" s="186">
        <f>IF(LEN(Кадры!$A30)&gt;2,Кадры!$E30,0)</f>
        <v>0</v>
      </c>
      <c r="D30" s="1797"/>
      <c r="E30" s="1797"/>
      <c r="F30" s="1786"/>
      <c r="G30" s="1810"/>
      <c r="H30" s="1798"/>
      <c r="I30" s="1797"/>
      <c r="J30" s="1797"/>
      <c r="K30" s="1797"/>
      <c r="L30" s="1790"/>
      <c r="M30" s="428">
        <f t="shared" si="2"/>
        <v>0</v>
      </c>
      <c r="N30" s="202">
        <f t="shared" si="3"/>
        <v>0</v>
      </c>
      <c r="S30" s="186">
        <f t="shared" si="1"/>
        <v>0</v>
      </c>
      <c r="T30" s="708">
        <f>7</f>
        <v>7</v>
      </c>
      <c r="U30" s="1215" t="str">
        <f t="shared" si="4"/>
        <v>0,0%
=0,0/7,0</v>
      </c>
    </row>
    <row r="31" spans="1:39" ht="15" customHeight="1" thickBot="1" x14ac:dyDescent="0.25">
      <c r="A31" s="551" t="str">
        <f>IF(LEN(КАФЕДРА!A31)&gt;2,КАФЕДРА!A31,"")</f>
        <v>Терапии и общей врачебной практики с курсом ДПО</v>
      </c>
      <c r="B31" s="442" t="str">
        <f>КАФЕДРА!$D31</f>
        <v>КМЕДИЦИНЫ</v>
      </c>
      <c r="C31" s="186">
        <f>IF(LEN(Кадры!$A31)&gt;2,Кадры!$E31,0)</f>
        <v>0</v>
      </c>
      <c r="D31" s="1797"/>
      <c r="E31" s="1797"/>
      <c r="F31" s="1786"/>
      <c r="G31" s="1810"/>
      <c r="H31" s="1798"/>
      <c r="I31" s="1797"/>
      <c r="J31" s="1797"/>
      <c r="K31" s="1797"/>
      <c r="L31" s="1790"/>
      <c r="M31" s="428">
        <f t="shared" si="2"/>
        <v>0</v>
      </c>
      <c r="N31" s="202">
        <f t="shared" si="3"/>
        <v>0</v>
      </c>
      <c r="S31" s="186">
        <f t="shared" si="1"/>
        <v>0</v>
      </c>
      <c r="T31" s="708">
        <f>7</f>
        <v>7</v>
      </c>
      <c r="U31" s="1215" t="str">
        <f t="shared" si="4"/>
        <v>0,0%
=0,0/7,0</v>
      </c>
    </row>
    <row r="32" spans="1:39" ht="15" customHeight="1" thickBot="1" x14ac:dyDescent="0.25">
      <c r="A32" s="551" t="str">
        <f>IF(LEN(КАФЕДРА!A32)&gt;2,КАФЕДРА!A32,"")</f>
        <v>Травматологии и ортопедии</v>
      </c>
      <c r="B32" s="442" t="str">
        <f>КАФЕДРА!$D32</f>
        <v>КМЕДИЦИНЫ</v>
      </c>
      <c r="C32" s="186">
        <f>IF(LEN(Кадры!$A32)&gt;2,Кадры!$E32,0)</f>
        <v>0</v>
      </c>
      <c r="D32" s="1797"/>
      <c r="E32" s="1797"/>
      <c r="F32" s="1786"/>
      <c r="G32" s="1810"/>
      <c r="H32" s="1798"/>
      <c r="I32" s="1797"/>
      <c r="J32" s="1797"/>
      <c r="K32" s="1797"/>
      <c r="L32" s="1790"/>
      <c r="M32" s="428">
        <f t="shared" si="2"/>
        <v>0</v>
      </c>
      <c r="N32" s="202">
        <f t="shared" si="3"/>
        <v>0</v>
      </c>
      <c r="S32" s="186">
        <f t="shared" si="1"/>
        <v>0</v>
      </c>
      <c r="T32" s="708">
        <f>7</f>
        <v>7</v>
      </c>
      <c r="U32" s="1215" t="str">
        <f t="shared" si="4"/>
        <v>0,0%
=0,0/7,0</v>
      </c>
    </row>
    <row r="33" spans="1:21" ht="15" customHeight="1" thickBot="1" x14ac:dyDescent="0.25">
      <c r="A33" s="551" t="str">
        <f>IF(LEN(КАФЕДРА!A33)&gt;2,КАФЕДРА!A33,"")</f>
        <v>Ультразвуковой и функциональной диагностики с курсом ДПО</v>
      </c>
      <c r="B33" s="442" t="str">
        <f>КАФЕДРА!$D33</f>
        <v>КМЕДИЦИНЫ</v>
      </c>
      <c r="C33" s="186">
        <f>IF(LEN(Кадры!$A33)&gt;2,Кадры!$E33,0)</f>
        <v>0</v>
      </c>
      <c r="D33" s="1797"/>
      <c r="E33" s="1797"/>
      <c r="F33" s="1786"/>
      <c r="G33" s="1810"/>
      <c r="H33" s="1798"/>
      <c r="I33" s="1797"/>
      <c r="J33" s="1797"/>
      <c r="K33" s="1797"/>
      <c r="L33" s="1790"/>
      <c r="M33" s="428">
        <f t="shared" si="2"/>
        <v>0</v>
      </c>
      <c r="N33" s="202">
        <f t="shared" si="3"/>
        <v>0</v>
      </c>
      <c r="S33" s="186">
        <f t="shared" si="1"/>
        <v>0</v>
      </c>
      <c r="T33" s="708">
        <f>7</f>
        <v>7</v>
      </c>
      <c r="U33" s="1215" t="str">
        <f t="shared" si="4"/>
        <v>0,0%
=0,0/7,0</v>
      </c>
    </row>
    <row r="34" spans="1:21" ht="15" customHeight="1" thickBot="1" x14ac:dyDescent="0.25">
      <c r="A34" s="551" t="str">
        <f>IF(LEN(КАФЕДРА!A34)&gt;2,КАФЕДРА!A34,"")</f>
        <v>Урологии и андрологии с курсом ДПО</v>
      </c>
      <c r="B34" s="442" t="str">
        <f>КАФЕДРА!$D34</f>
        <v>КМЕДИЦИНЫ</v>
      </c>
      <c r="C34" s="186">
        <f>IF(LEN(Кадры!$A34)&gt;2,Кадры!$E34,0)</f>
        <v>0</v>
      </c>
      <c r="D34" s="1797"/>
      <c r="E34" s="1797"/>
      <c r="F34" s="1786"/>
      <c r="G34" s="1810"/>
      <c r="H34" s="1798"/>
      <c r="I34" s="1797"/>
      <c r="J34" s="1797"/>
      <c r="K34" s="1797"/>
      <c r="L34" s="1790"/>
      <c r="M34" s="428">
        <f t="shared" si="2"/>
        <v>0</v>
      </c>
      <c r="N34" s="202">
        <f t="shared" si="3"/>
        <v>0</v>
      </c>
      <c r="S34" s="186">
        <f t="shared" si="1"/>
        <v>0</v>
      </c>
      <c r="T34" s="708">
        <f>7</f>
        <v>7</v>
      </c>
      <c r="U34" s="1215" t="str">
        <f t="shared" si="4"/>
        <v>0,0%
=0,0/7,0</v>
      </c>
    </row>
    <row r="35" spans="1:21" ht="15" customHeight="1" thickBot="1" x14ac:dyDescent="0.25">
      <c r="A35" s="551" t="str">
        <f>IF(LEN(КАФЕДРА!A35)&gt;2,КАФЕДРА!A35,"")</f>
        <v>Факультетской терапии и профессиональных болезней</v>
      </c>
      <c r="B35" s="442" t="str">
        <f>КАФЕДРА!$D35</f>
        <v>КМЕДИЦИНЫ</v>
      </c>
      <c r="C35" s="186">
        <f>IF(LEN(Кадры!$A35)&gt;2,Кадры!$E35,0)</f>
        <v>0</v>
      </c>
      <c r="D35" s="1797"/>
      <c r="E35" s="1797"/>
      <c r="F35" s="1786"/>
      <c r="G35" s="1810"/>
      <c r="H35" s="1798"/>
      <c r="I35" s="1797"/>
      <c r="J35" s="1797"/>
      <c r="K35" s="1797"/>
      <c r="L35" s="1790"/>
      <c r="M35" s="428">
        <f t="shared" si="2"/>
        <v>0</v>
      </c>
      <c r="N35" s="202">
        <f t="shared" si="3"/>
        <v>0</v>
      </c>
      <c r="S35" s="186">
        <f t="shared" si="1"/>
        <v>0</v>
      </c>
      <c r="T35" s="708">
        <f>7</f>
        <v>7</v>
      </c>
      <c r="U35" s="1215" t="str">
        <f t="shared" si="4"/>
        <v>0,0%
=0,0/7,0</v>
      </c>
    </row>
    <row r="36" spans="1:21" ht="15" customHeight="1" thickBot="1" x14ac:dyDescent="0.25">
      <c r="A36" s="578" t="str">
        <f>IF(LEN(КАФЕДРА!A36)&gt;2,КАФЕДРА!A36,"")</f>
        <v>Факультетской хирургии имени профессора И.И. Неймарка с курсом ДПО</v>
      </c>
      <c r="B36" s="727" t="str">
        <f>КАФЕДРА!$D36</f>
        <v>КМЕДИЦИНЫ</v>
      </c>
      <c r="C36" s="191">
        <f>IF(LEN(Кадры!$A36)&gt;2,Кадры!$E36,0)</f>
        <v>0</v>
      </c>
      <c r="D36" s="1795"/>
      <c r="E36" s="1795"/>
      <c r="F36" s="1783"/>
      <c r="G36" s="2032"/>
      <c r="H36" s="1799"/>
      <c r="I36" s="1795"/>
      <c r="J36" s="1795"/>
      <c r="K36" s="1795"/>
      <c r="L36" s="1792"/>
      <c r="M36" s="595">
        <f t="shared" si="2"/>
        <v>0</v>
      </c>
      <c r="N36" s="592">
        <f t="shared" si="3"/>
        <v>0</v>
      </c>
      <c r="S36" s="1174">
        <f t="shared" si="1"/>
        <v>0</v>
      </c>
      <c r="T36" s="973">
        <f>7</f>
        <v>7</v>
      </c>
      <c r="U36" s="1215" t="str">
        <f t="shared" si="4"/>
        <v>0,0%
=0,0/7,0</v>
      </c>
    </row>
    <row r="37" spans="1:21" ht="15" customHeight="1" thickBot="1" x14ac:dyDescent="0.25">
      <c r="A37" s="552" t="str">
        <f>IF(LEN(КАФЕДРА!A37)&gt;2,КАФЕДРА!A37,"")</f>
        <v>Госпитальной педиатрии с курсом ДПО</v>
      </c>
      <c r="B37" s="785" t="str">
        <f>КАФЕДРА!$D37</f>
        <v>ПЕДИАТРИИ</v>
      </c>
      <c r="C37" s="370">
        <f>IF(LEN(Кадры!$A37)&gt;2,Кадры!$E37,0)</f>
        <v>0</v>
      </c>
      <c r="D37" s="1800"/>
      <c r="E37" s="1800"/>
      <c r="F37" s="1784"/>
      <c r="G37" s="1813"/>
      <c r="H37" s="1801"/>
      <c r="I37" s="1800"/>
      <c r="J37" s="1800"/>
      <c r="K37" s="1800"/>
      <c r="L37" s="1791"/>
      <c r="M37" s="428">
        <f t="shared" si="2"/>
        <v>0</v>
      </c>
      <c r="N37" s="202">
        <f t="shared" si="3"/>
        <v>0</v>
      </c>
      <c r="S37" s="370">
        <f t="shared" si="1"/>
        <v>0</v>
      </c>
      <c r="T37" s="1206">
        <f>7</f>
        <v>7</v>
      </c>
      <c r="U37" s="1215" t="str">
        <f t="shared" si="4"/>
        <v>0,0%
=0,0/7,0</v>
      </c>
    </row>
    <row r="38" spans="1:21" ht="15" customHeight="1" thickBot="1" x14ac:dyDescent="0.25">
      <c r="A38" s="551" t="str">
        <f>IF(LEN(КАФЕДРА!A38)&gt;2,КАФЕДРА!A38,"")</f>
        <v>Лучевой диагностики и эндоскопии с курсом ДПО</v>
      </c>
      <c r="B38" s="786" t="str">
        <f>КАФЕДРА!$D38</f>
        <v>ПЕДИАТРИИ</v>
      </c>
      <c r="C38" s="186">
        <f>IF(LEN(Кадры!$A38)&gt;2,Кадры!$E38,0)</f>
        <v>0</v>
      </c>
      <c r="D38" s="1797"/>
      <c r="E38" s="1797"/>
      <c r="F38" s="1786"/>
      <c r="G38" s="1810"/>
      <c r="H38" s="1798"/>
      <c r="I38" s="1797"/>
      <c r="J38" s="1797"/>
      <c r="K38" s="1797"/>
      <c r="L38" s="1790"/>
      <c r="M38" s="428">
        <f t="shared" si="2"/>
        <v>0</v>
      </c>
      <c r="N38" s="202">
        <f t="shared" si="3"/>
        <v>0</v>
      </c>
      <c r="S38" s="186">
        <f t="shared" si="1"/>
        <v>0</v>
      </c>
      <c r="T38" s="708">
        <f>7</f>
        <v>7</v>
      </c>
      <c r="U38" s="1215" t="str">
        <f t="shared" si="4"/>
        <v>0,0%
=0,0/7,0</v>
      </c>
    </row>
    <row r="39" spans="1:21" ht="15" customHeight="1" thickBot="1" x14ac:dyDescent="0.25">
      <c r="A39" s="551" t="str">
        <f>IF(LEN(КАФЕДРА!A39)&gt;2,КАФЕДРА!A39,"")</f>
        <v>Неонатологии и детской анестезиологии с курсом ДПО</v>
      </c>
      <c r="B39" s="786" t="str">
        <f>КАФЕДРА!$D39</f>
        <v>ПЕДИАТРИИ</v>
      </c>
      <c r="C39" s="186">
        <f>IF(LEN(Кадры!$A39)&gt;2,Кадры!$E39,0)</f>
        <v>0</v>
      </c>
      <c r="D39" s="1797"/>
      <c r="E39" s="1797"/>
      <c r="F39" s="1786"/>
      <c r="G39" s="1810"/>
      <c r="H39" s="1798"/>
      <c r="I39" s="1797"/>
      <c r="J39" s="1797"/>
      <c r="K39" s="1797"/>
      <c r="L39" s="1790"/>
      <c r="M39" s="428">
        <f t="shared" si="2"/>
        <v>0</v>
      </c>
      <c r="N39" s="202">
        <f t="shared" si="3"/>
        <v>0</v>
      </c>
      <c r="S39" s="186">
        <f t="shared" si="1"/>
        <v>0</v>
      </c>
      <c r="T39" s="708">
        <f>7</f>
        <v>7</v>
      </c>
      <c r="U39" s="1215" t="str">
        <f t="shared" si="4"/>
        <v>0,0%
=0,0/7,0</v>
      </c>
    </row>
    <row r="40" spans="1:21" ht="15" customHeight="1" thickBot="1" x14ac:dyDescent="0.25">
      <c r="A40" s="551" t="str">
        <f>IF(LEN(КАФЕДРА!A40)&gt;2,КАФЕДРА!A40,"")</f>
        <v>Онкологии, лучевой терапии с курсом ДПО</v>
      </c>
      <c r="B40" s="786" t="str">
        <f>КАФЕДРА!$D40</f>
        <v>ПЕДИАТРИИ</v>
      </c>
      <c r="C40" s="186">
        <f>IF(LEN(Кадры!$A40)&gt;2,Кадры!$E40,0)</f>
        <v>0</v>
      </c>
      <c r="D40" s="1797"/>
      <c r="E40" s="1797"/>
      <c r="F40" s="1786"/>
      <c r="G40" s="1810"/>
      <c r="H40" s="1798"/>
      <c r="I40" s="1797"/>
      <c r="J40" s="1797"/>
      <c r="K40" s="1797"/>
      <c r="L40" s="1790"/>
      <c r="M40" s="428">
        <f t="shared" si="2"/>
        <v>0</v>
      </c>
      <c r="N40" s="202">
        <f t="shared" si="3"/>
        <v>0</v>
      </c>
      <c r="S40" s="186">
        <f t="shared" si="1"/>
        <v>0</v>
      </c>
      <c r="T40" s="708">
        <f>7</f>
        <v>7</v>
      </c>
      <c r="U40" s="1215" t="str">
        <f t="shared" si="4"/>
        <v>0,0%
=0,0/7,0</v>
      </c>
    </row>
    <row r="41" spans="1:21" ht="15" customHeight="1" thickBot="1" x14ac:dyDescent="0.25">
      <c r="A41" s="551" t="str">
        <f>IF(LEN(КАФЕДРА!A41)&gt;2,КАФЕДРА!A41,"")</f>
        <v>Офтальмологии с курсом ДПО</v>
      </c>
      <c r="B41" s="786" t="str">
        <f>КАФЕДРА!$D41</f>
        <v>ПЕДИАТРИИ</v>
      </c>
      <c r="C41" s="186">
        <f>IF(LEN(Кадры!$A41)&gt;2,Кадры!$E41,0)</f>
        <v>0</v>
      </c>
      <c r="D41" s="1797"/>
      <c r="E41" s="1797"/>
      <c r="F41" s="1786"/>
      <c r="G41" s="1810"/>
      <c r="H41" s="1798"/>
      <c r="I41" s="1797"/>
      <c r="J41" s="1797"/>
      <c r="K41" s="1797"/>
      <c r="L41" s="1790"/>
      <c r="M41" s="428">
        <f t="shared" si="2"/>
        <v>0</v>
      </c>
      <c r="N41" s="202">
        <f t="shared" si="3"/>
        <v>0</v>
      </c>
      <c r="S41" s="186">
        <f t="shared" si="1"/>
        <v>0</v>
      </c>
      <c r="T41" s="708">
        <f>7</f>
        <v>7</v>
      </c>
      <c r="U41" s="1215" t="str">
        <f t="shared" si="4"/>
        <v>0,0%
=0,0/7,0</v>
      </c>
    </row>
    <row r="42" spans="1:21" ht="15" customHeight="1" thickBot="1" x14ac:dyDescent="0.25">
      <c r="A42" s="551" t="str">
        <f>IF(LEN(КАФЕДРА!A42)&gt;2,КАФЕДРА!A42,"")</f>
        <v>Патологической физиологии</v>
      </c>
      <c r="B42" s="786" t="str">
        <f>КАФЕДРА!$D42</f>
        <v>ПЕДИАТРИИ</v>
      </c>
      <c r="C42" s="186">
        <f>IF(LEN(Кадры!$A42)&gt;2,Кадры!$E42,0)</f>
        <v>0</v>
      </c>
      <c r="D42" s="1797"/>
      <c r="E42" s="1797"/>
      <c r="F42" s="1786"/>
      <c r="G42" s="1810"/>
      <c r="H42" s="1798"/>
      <c r="I42" s="1797"/>
      <c r="J42" s="1797"/>
      <c r="K42" s="1797"/>
      <c r="L42" s="1790"/>
      <c r="M42" s="428">
        <f t="shared" si="2"/>
        <v>0</v>
      </c>
      <c r="N42" s="202">
        <f t="shared" si="3"/>
        <v>0</v>
      </c>
      <c r="S42" s="186">
        <f t="shared" si="1"/>
        <v>0</v>
      </c>
      <c r="T42" s="708">
        <f>7</f>
        <v>7</v>
      </c>
      <c r="U42" s="1215" t="str">
        <f t="shared" si="4"/>
        <v>0,0%
=0,0/7,0</v>
      </c>
    </row>
    <row r="43" spans="1:21" ht="15" customHeight="1" thickBot="1" x14ac:dyDescent="0.25">
      <c r="A43" s="551" t="str">
        <f>IF(LEN(КАФЕДРА!A43)&gt;2,КАФЕДРА!A43,"")</f>
        <v>Пропедевтики детских болезней</v>
      </c>
      <c r="B43" s="786" t="str">
        <f>КАФЕДРА!$D43</f>
        <v>ПЕДИАТРИИ</v>
      </c>
      <c r="C43" s="186">
        <f>IF(LEN(Кадры!$A43)&gt;2,Кадры!$E43,0)</f>
        <v>0</v>
      </c>
      <c r="D43" s="1797"/>
      <c r="E43" s="1797"/>
      <c r="F43" s="1786"/>
      <c r="G43" s="1810"/>
      <c r="H43" s="1798"/>
      <c r="I43" s="1797"/>
      <c r="J43" s="1797"/>
      <c r="K43" s="1797"/>
      <c r="L43" s="1790"/>
      <c r="M43" s="428">
        <f t="shared" si="2"/>
        <v>0</v>
      </c>
      <c r="N43" s="202">
        <f t="shared" si="3"/>
        <v>0</v>
      </c>
      <c r="S43" s="186">
        <f t="shared" si="1"/>
        <v>0</v>
      </c>
      <c r="T43" s="708">
        <f>7</f>
        <v>7</v>
      </c>
      <c r="U43" s="1215" t="str">
        <f t="shared" si="4"/>
        <v>0,0%
=0,0/7,0</v>
      </c>
    </row>
    <row r="44" spans="1:21" ht="15" customHeight="1" thickBot="1" x14ac:dyDescent="0.25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786" t="str">
        <f>КАФЕДРА!$D44</f>
        <v>ПЕДИАТРИИ</v>
      </c>
      <c r="C44" s="186">
        <f>IF(LEN(Кадры!$A44)&gt;2,Кадры!$E44,0)</f>
        <v>0</v>
      </c>
      <c r="D44" s="1797"/>
      <c r="E44" s="1797"/>
      <c r="F44" s="1786"/>
      <c r="G44" s="1810"/>
      <c r="H44" s="1798"/>
      <c r="I44" s="1797"/>
      <c r="J44" s="1797"/>
      <c r="K44" s="1797"/>
      <c r="L44" s="1790"/>
      <c r="M44" s="428">
        <f t="shared" si="2"/>
        <v>0</v>
      </c>
      <c r="N44" s="202">
        <f t="shared" si="3"/>
        <v>0</v>
      </c>
      <c r="S44" s="186">
        <f t="shared" si="1"/>
        <v>0</v>
      </c>
      <c r="T44" s="708">
        <f>7</f>
        <v>7</v>
      </c>
      <c r="U44" s="1215" t="str">
        <f t="shared" si="4"/>
        <v>0,0%
=0,0/7,0</v>
      </c>
    </row>
    <row r="45" spans="1:21" ht="15" customHeight="1" thickBot="1" x14ac:dyDescent="0.25">
      <c r="A45" s="551" t="str">
        <f>IF(LEN(КАФЕДРА!A45)&gt;2,КАФЕДРА!A45,"")</f>
        <v>Факультетской педиатрии</v>
      </c>
      <c r="B45" s="786" t="str">
        <f>КАФЕДРА!$D45</f>
        <v>ПЕДИАТРИИ</v>
      </c>
      <c r="C45" s="186">
        <f>IF(LEN(Кадры!$A45)&gt;2,Кадры!$E45,0)</f>
        <v>0</v>
      </c>
      <c r="D45" s="1797"/>
      <c r="E45" s="1797"/>
      <c r="F45" s="1786"/>
      <c r="G45" s="1810"/>
      <c r="H45" s="1798"/>
      <c r="I45" s="1797"/>
      <c r="J45" s="1797"/>
      <c r="K45" s="1797"/>
      <c r="L45" s="1790"/>
      <c r="M45" s="428">
        <f t="shared" si="2"/>
        <v>0</v>
      </c>
      <c r="N45" s="202">
        <f t="shared" si="3"/>
        <v>0</v>
      </c>
      <c r="S45" s="186">
        <f t="shared" si="1"/>
        <v>0</v>
      </c>
      <c r="T45" s="708">
        <f>7</f>
        <v>7</v>
      </c>
      <c r="U45" s="1215" t="str">
        <f t="shared" si="4"/>
        <v>0,0%
=0,0/7,0</v>
      </c>
    </row>
    <row r="46" spans="1:21" ht="15" customHeight="1" thickBot="1" x14ac:dyDescent="0.25">
      <c r="A46" s="551" t="str">
        <f>IF(LEN(КАФЕДРА!A46)&gt;2,КАФЕДРА!A46,"")</f>
        <v>Хирургических болезней детского возраста</v>
      </c>
      <c r="B46" s="786" t="str">
        <f>КАФЕДРА!$D46</f>
        <v>ПЕДИАТРИИ</v>
      </c>
      <c r="C46" s="186">
        <f>IF(LEN(Кадры!$A46)&gt;2,Кадры!$E46,0)</f>
        <v>0</v>
      </c>
      <c r="D46" s="1797"/>
      <c r="E46" s="1797"/>
      <c r="F46" s="1786"/>
      <c r="G46" s="1810"/>
      <c r="H46" s="1797"/>
      <c r="I46" s="1797"/>
      <c r="J46" s="1797"/>
      <c r="K46" s="1797"/>
      <c r="L46" s="1790"/>
      <c r="M46" s="741">
        <f t="shared" si="2"/>
        <v>0</v>
      </c>
      <c r="N46" s="719">
        <f t="shared" si="3"/>
        <v>0</v>
      </c>
      <c r="S46" s="186">
        <f t="shared" si="1"/>
        <v>0</v>
      </c>
      <c r="T46" s="868">
        <f>7</f>
        <v>7</v>
      </c>
      <c r="U46" s="1215" t="str">
        <f t="shared" si="4"/>
        <v>0,0%
=0,0/7,0</v>
      </c>
    </row>
    <row r="47" spans="1:21" s="767" customFormat="1" ht="15" customHeight="1" thickBot="1" x14ac:dyDescent="0.25">
      <c r="A47" s="877" t="str">
        <f>IF(LEN(КАФЕДРА!A47)&gt;2,КАФЕДРА!A47,"")</f>
        <v>Клинической фармакологии</v>
      </c>
      <c r="B47" s="879" t="str">
        <f>КАФЕДРА!$D47</f>
        <v>ПЕДИАТРИИ</v>
      </c>
      <c r="C47" s="882">
        <f>IF(LEN(Кадры!$A47)&gt;2,Кадры!$E47,0)</f>
        <v>0</v>
      </c>
      <c r="D47" s="1787"/>
      <c r="E47" s="1787"/>
      <c r="F47" s="1789"/>
      <c r="G47" s="2032"/>
      <c r="H47" s="1787"/>
      <c r="I47" s="1787"/>
      <c r="J47" s="1787"/>
      <c r="K47" s="1787"/>
      <c r="L47" s="1794"/>
      <c r="M47" s="883">
        <f t="shared" si="2"/>
        <v>0</v>
      </c>
      <c r="N47" s="374">
        <f t="shared" si="3"/>
        <v>0</v>
      </c>
      <c r="R47" s="402"/>
      <c r="S47" s="1208">
        <f t="shared" si="1"/>
        <v>0</v>
      </c>
      <c r="T47" s="1207">
        <f>7</f>
        <v>7</v>
      </c>
      <c r="U47" s="1215" t="str">
        <f t="shared" si="4"/>
        <v>0,0%
=0,0/7,0</v>
      </c>
    </row>
    <row r="48" spans="1:21" ht="15" customHeight="1" thickBot="1" x14ac:dyDescent="0.25">
      <c r="A48" s="552" t="str">
        <f>IF(LEN(КАФЕДРА!A48)&gt;2,КАФЕДРА!A48,"")</f>
        <v>Ортопедической стоматологии</v>
      </c>
      <c r="B48" s="788" t="str">
        <f>КАФЕДРА!$D48</f>
        <v>СТОМ</v>
      </c>
      <c r="C48" s="369">
        <f>IF(LEN(Кадры!$A48)&gt;2,Кадры!$E48,0)</f>
        <v>0</v>
      </c>
      <c r="D48" s="1800"/>
      <c r="E48" s="1800"/>
      <c r="F48" s="1788"/>
      <c r="G48" s="1813"/>
      <c r="H48" s="1801"/>
      <c r="I48" s="1800"/>
      <c r="J48" s="1800"/>
      <c r="K48" s="1800"/>
      <c r="L48" s="1791"/>
      <c r="M48" s="428">
        <f t="shared" si="2"/>
        <v>0</v>
      </c>
      <c r="N48" s="202">
        <f t="shared" si="3"/>
        <v>0</v>
      </c>
      <c r="S48" s="370">
        <f t="shared" si="1"/>
        <v>0</v>
      </c>
      <c r="T48" s="1206">
        <f>7</f>
        <v>7</v>
      </c>
      <c r="U48" s="1215" t="str">
        <f t="shared" si="4"/>
        <v>0,0%
=0,0/7,0</v>
      </c>
    </row>
    <row r="49" spans="1:21" ht="15" customHeight="1" thickBot="1" x14ac:dyDescent="0.25">
      <c r="A49" s="551" t="str">
        <f>IF(LEN(КАФЕДРА!A49)&gt;2,КАФЕДРА!A49,"")</f>
        <v>Стоматологии детского возраста</v>
      </c>
      <c r="B49" s="789" t="str">
        <f>КАФЕДРА!$D49</f>
        <v>СТОМ</v>
      </c>
      <c r="C49" s="186">
        <f>IF(LEN(Кадры!$A49)&gt;2,Кадры!$E49,0)</f>
        <v>0</v>
      </c>
      <c r="D49" s="1797"/>
      <c r="E49" s="1797"/>
      <c r="F49" s="1786"/>
      <c r="G49" s="1810"/>
      <c r="H49" s="1798"/>
      <c r="I49" s="1797"/>
      <c r="J49" s="1797"/>
      <c r="K49" s="1797"/>
      <c r="L49" s="1790"/>
      <c r="M49" s="428">
        <f t="shared" si="2"/>
        <v>0</v>
      </c>
      <c r="N49" s="202">
        <f t="shared" si="3"/>
        <v>0</v>
      </c>
      <c r="S49" s="186">
        <f t="shared" si="1"/>
        <v>0</v>
      </c>
      <c r="T49" s="708">
        <f>7</f>
        <v>7</v>
      </c>
      <c r="U49" s="1215" t="str">
        <f t="shared" si="4"/>
        <v>0,0%
=0,0/7,0</v>
      </c>
    </row>
    <row r="50" spans="1:21" ht="15" customHeight="1" thickBot="1" x14ac:dyDescent="0.25">
      <c r="A50" s="551" t="str">
        <f>IF(LEN(КАФЕДРА!A50)&gt;2,КАФЕДРА!A50,"")</f>
        <v>Терапевтической стоматологии</v>
      </c>
      <c r="B50" s="789" t="str">
        <f>КАФЕДРА!$D50</f>
        <v>СТОМ</v>
      </c>
      <c r="C50" s="186">
        <f>IF(LEN(Кадры!$A50)&gt;2,Кадры!$E50,0)</f>
        <v>0</v>
      </c>
      <c r="D50" s="1797"/>
      <c r="E50" s="1797"/>
      <c r="F50" s="1786"/>
      <c r="G50" s="1810"/>
      <c r="H50" s="1798"/>
      <c r="I50" s="1797"/>
      <c r="J50" s="1797"/>
      <c r="K50" s="1797"/>
      <c r="L50" s="1790"/>
      <c r="M50" s="428">
        <f t="shared" si="2"/>
        <v>0</v>
      </c>
      <c r="N50" s="202">
        <f t="shared" si="3"/>
        <v>0</v>
      </c>
      <c r="S50" s="186">
        <f t="shared" si="1"/>
        <v>0</v>
      </c>
      <c r="T50" s="708">
        <f>7</f>
        <v>7</v>
      </c>
      <c r="U50" s="1215" t="str">
        <f t="shared" si="4"/>
        <v>0,0%
=0,0/7,0</v>
      </c>
    </row>
    <row r="51" spans="1:21" ht="15" customHeight="1" thickBot="1" x14ac:dyDescent="0.25">
      <c r="A51" s="551" t="str">
        <f>IF(LEN(КАФЕДРА!A51)&gt;2,КАФЕДРА!A51,"")</f>
        <v>Физической культуры и здорового образа жизни</v>
      </c>
      <c r="B51" s="789" t="str">
        <f>КАФЕДРА!$D51</f>
        <v>СТОМ</v>
      </c>
      <c r="C51" s="186">
        <f>IF(LEN(Кадры!$A51)&gt;2,Кадры!$E51,0)</f>
        <v>0</v>
      </c>
      <c r="D51" s="1797"/>
      <c r="E51" s="1797"/>
      <c r="F51" s="1786"/>
      <c r="G51" s="1810"/>
      <c r="H51" s="1798"/>
      <c r="I51" s="1797"/>
      <c r="J51" s="1797"/>
      <c r="K51" s="1797"/>
      <c r="L51" s="1802"/>
      <c r="M51" s="428">
        <f t="shared" si="2"/>
        <v>0</v>
      </c>
      <c r="N51" s="202">
        <f t="shared" si="3"/>
        <v>0</v>
      </c>
      <c r="S51" s="186">
        <f t="shared" ref="S51:S77" si="5">M51</f>
        <v>0</v>
      </c>
      <c r="T51" s="708">
        <f>7</f>
        <v>7</v>
      </c>
      <c r="U51" s="1215" t="str">
        <f t="shared" si="4"/>
        <v>0,0%
=0,0/7,0</v>
      </c>
    </row>
    <row r="52" spans="1:21" ht="15" customHeight="1" thickBot="1" x14ac:dyDescent="0.25">
      <c r="A52" s="578" t="str">
        <f>IF(LEN(КАФЕДРА!A52)&gt;2,КАФЕДРА!A52,"")</f>
        <v>Хирургической стоматологии, челюстно-лицевой хирургии</v>
      </c>
      <c r="B52" s="790" t="str">
        <f>КАФЕДРА!$D52</f>
        <v>СТОМ</v>
      </c>
      <c r="C52" s="373">
        <f>IF(LEN(Кадры!$A52)&gt;2,Кадры!$E52,0)</f>
        <v>0</v>
      </c>
      <c r="D52" s="1795"/>
      <c r="E52" s="1795"/>
      <c r="F52" s="1783"/>
      <c r="G52" s="1217"/>
      <c r="H52" s="1799"/>
      <c r="I52" s="1795"/>
      <c r="J52" s="1795"/>
      <c r="K52" s="1795"/>
      <c r="L52" s="1792"/>
      <c r="M52" s="595">
        <f t="shared" ref="M52:M77" si="6">IF(SUMPRODUCT(D52:L52,$D$11:$L$11)&gt;7,7,SUMPRODUCT(D52:L52,$D$11:$L$11))</f>
        <v>0</v>
      </c>
      <c r="N52" s="592">
        <f t="shared" ref="N52:N77" si="7">IF(M52=7,100,M52/7*100)</f>
        <v>0</v>
      </c>
      <c r="S52" s="1174">
        <f t="shared" si="5"/>
        <v>0</v>
      </c>
      <c r="T52" s="973">
        <f>7</f>
        <v>7</v>
      </c>
      <c r="U52" s="1215" t="str">
        <f t="shared" si="4"/>
        <v>0,0%
=0,0/7,0</v>
      </c>
    </row>
    <row r="53" spans="1:21" ht="15" customHeight="1" thickBot="1" x14ac:dyDescent="0.25">
      <c r="A53" s="552" t="str">
        <f>IF(LEN(КАФЕДРА!A53)&gt;2,КАФЕДРА!A53,"")</f>
        <v>Биологии, гистологии, эмбриологии и цитологии</v>
      </c>
      <c r="B53" s="791" t="str">
        <f>КАФЕДРА!$D53</f>
        <v>ОЗДОРОВЬЯ</v>
      </c>
      <c r="C53" s="369">
        <f>IF(LEN(Кадры!$A53)&gt;2,Кадры!$E53,0)</f>
        <v>0</v>
      </c>
      <c r="D53" s="1800"/>
      <c r="E53" s="1800"/>
      <c r="F53" s="1788"/>
      <c r="G53" s="2030"/>
      <c r="H53" s="1801"/>
      <c r="I53" s="1800"/>
      <c r="J53" s="1800"/>
      <c r="K53" s="1800"/>
      <c r="L53" s="1791"/>
      <c r="M53" s="428">
        <f t="shared" si="6"/>
        <v>0</v>
      </c>
      <c r="N53" s="202">
        <f t="shared" si="7"/>
        <v>0</v>
      </c>
      <c r="S53" s="370">
        <f t="shared" si="5"/>
        <v>0</v>
      </c>
      <c r="T53" s="1206">
        <f>7</f>
        <v>7</v>
      </c>
      <c r="U53" s="1215" t="str">
        <f t="shared" si="4"/>
        <v>0,0%
=0,0/7,0</v>
      </c>
    </row>
    <row r="54" spans="1:21" ht="15" customHeight="1" thickBot="1" x14ac:dyDescent="0.25">
      <c r="A54" s="551" t="str">
        <f>IF(LEN(КАФЕДРА!A54)&gt;2,КАФЕДРА!A54,"")</f>
        <v>Гигиены и основ экологии</v>
      </c>
      <c r="B54" s="792" t="str">
        <f>КАФЕДРА!$D54</f>
        <v>ОЗДОРОВЬЯ</v>
      </c>
      <c r="C54" s="186">
        <f>IF(LEN(Кадры!$A54)&gt;2,Кадры!$E54,0)</f>
        <v>0</v>
      </c>
      <c r="D54" s="1797"/>
      <c r="E54" s="1797"/>
      <c r="F54" s="1786"/>
      <c r="G54" s="1810"/>
      <c r="H54" s="1798"/>
      <c r="I54" s="1797"/>
      <c r="J54" s="1797"/>
      <c r="K54" s="1797"/>
      <c r="L54" s="1790"/>
      <c r="M54" s="428">
        <f t="shared" si="6"/>
        <v>0</v>
      </c>
      <c r="N54" s="202">
        <f t="shared" si="7"/>
        <v>0</v>
      </c>
      <c r="S54" s="186">
        <f t="shared" si="5"/>
        <v>0</v>
      </c>
      <c r="T54" s="708">
        <f>7</f>
        <v>7</v>
      </c>
      <c r="U54" s="1215" t="str">
        <f t="shared" si="4"/>
        <v>0,0%
=0,0/7,0</v>
      </c>
    </row>
    <row r="55" spans="1:21" ht="15" customHeight="1" thickBot="1" x14ac:dyDescent="0.25">
      <c r="A55" s="551" t="str">
        <f>IF(LEN(КАФЕДРА!A55)&gt;2,КАФЕДРА!A55,"")</f>
        <v>Дерматовенерологии, косметологии и иммунологии</v>
      </c>
      <c r="B55" s="792" t="str">
        <f>КАФЕДРА!$D55</f>
        <v>ОЗДОРОВЬЯ</v>
      </c>
      <c r="C55" s="186">
        <f>IF(LEN(Кадры!$A55)&gt;2,Кадры!$E55,0)</f>
        <v>0</v>
      </c>
      <c r="D55" s="1797"/>
      <c r="E55" s="1797"/>
      <c r="F55" s="1786"/>
      <c r="G55" s="1810"/>
      <c r="H55" s="1798"/>
      <c r="I55" s="1797"/>
      <c r="J55" s="1797"/>
      <c r="K55" s="1797"/>
      <c r="L55" s="1790"/>
      <c r="M55" s="428">
        <f t="shared" si="6"/>
        <v>0</v>
      </c>
      <c r="N55" s="202">
        <f t="shared" si="7"/>
        <v>0</v>
      </c>
      <c r="S55" s="186">
        <f t="shared" si="5"/>
        <v>0</v>
      </c>
      <c r="T55" s="708">
        <f>7</f>
        <v>7</v>
      </c>
      <c r="U55" s="1215" t="str">
        <f t="shared" si="4"/>
        <v>0,0%
=0,0/7,0</v>
      </c>
    </row>
    <row r="56" spans="1:21" ht="15" customHeight="1" thickBot="1" x14ac:dyDescent="0.25">
      <c r="A56" s="551" t="str">
        <f>IF(LEN(КАФЕДРА!A56)&gt;2,КАФЕДРА!A56,"")</f>
        <v>Инфекционных болезней с курсом ДПО</v>
      </c>
      <c r="B56" s="792" t="str">
        <f>КАФЕДРА!$D56</f>
        <v>ОЗДОРОВЬЯ</v>
      </c>
      <c r="C56" s="186">
        <f>IF(LEN(Кадры!$A56)&gt;2,Кадры!$E56,0)</f>
        <v>0</v>
      </c>
      <c r="D56" s="1797"/>
      <c r="E56" s="1797"/>
      <c r="F56" s="1786"/>
      <c r="G56" s="1810"/>
      <c r="H56" s="1798"/>
      <c r="I56" s="1797"/>
      <c r="J56" s="1797"/>
      <c r="K56" s="1797"/>
      <c r="L56" s="1790"/>
      <c r="M56" s="428">
        <f t="shared" si="6"/>
        <v>0</v>
      </c>
      <c r="N56" s="202">
        <f t="shared" si="7"/>
        <v>0</v>
      </c>
      <c r="S56" s="186">
        <f t="shared" si="5"/>
        <v>0</v>
      </c>
      <c r="T56" s="708">
        <f>7</f>
        <v>7</v>
      </c>
      <c r="U56" s="1215" t="str">
        <f t="shared" si="4"/>
        <v>0,0%
=0,0/7,0</v>
      </c>
    </row>
    <row r="57" spans="1:21" ht="15" customHeight="1" thickBot="1" x14ac:dyDescent="0.25">
      <c r="A57" s="551" t="str">
        <f>IF(LEN(КАФЕДРА!A57)&gt;2,КАФЕДРА!A57,"")</f>
        <v>Медицины катастроф и безопасности жизнедеятельности</v>
      </c>
      <c r="B57" s="792" t="str">
        <f>КАФЕДРА!$D57</f>
        <v>ОЗДОРОВЬЯ</v>
      </c>
      <c r="C57" s="186">
        <f>IF(LEN(Кадры!$A57)&gt;2,Кадры!$E57,0)</f>
        <v>0</v>
      </c>
      <c r="D57" s="1797"/>
      <c r="E57" s="1797"/>
      <c r="F57" s="1786"/>
      <c r="G57" s="1810"/>
      <c r="H57" s="1798"/>
      <c r="I57" s="1797"/>
      <c r="J57" s="1797"/>
      <c r="K57" s="1797"/>
      <c r="L57" s="1790"/>
      <c r="M57" s="428">
        <f t="shared" si="6"/>
        <v>0</v>
      </c>
      <c r="N57" s="202">
        <f t="shared" si="7"/>
        <v>0</v>
      </c>
      <c r="S57" s="186">
        <f t="shared" si="5"/>
        <v>0</v>
      </c>
      <c r="T57" s="708">
        <f>7</f>
        <v>7</v>
      </c>
      <c r="U57" s="1215" t="str">
        <f t="shared" si="4"/>
        <v>0,0%
=0,0/7,0</v>
      </c>
    </row>
    <row r="58" spans="1:21" ht="15" customHeight="1" thickBot="1" x14ac:dyDescent="0.25">
      <c r="A58" s="551" t="str">
        <f>IF(LEN(КАФЕДРА!A58)&gt;2,КАФЕДРА!A58,"")</f>
        <v>Медицинского права</v>
      </c>
      <c r="B58" s="792" t="str">
        <f>КАФЕДРА!$D58</f>
        <v>ОЗДОРОВЬЯ</v>
      </c>
      <c r="C58" s="186">
        <f>IF(LEN(Кадры!$A58)&gt;2,Кадры!$E58,0)</f>
        <v>0</v>
      </c>
      <c r="D58" s="1797"/>
      <c r="E58" s="1797"/>
      <c r="F58" s="1786"/>
      <c r="G58" s="1810"/>
      <c r="H58" s="1798"/>
      <c r="I58" s="1797"/>
      <c r="J58" s="1797"/>
      <c r="K58" s="1797"/>
      <c r="L58" s="1790"/>
      <c r="M58" s="428">
        <f t="shared" si="6"/>
        <v>0</v>
      </c>
      <c r="N58" s="202">
        <f t="shared" si="7"/>
        <v>0</v>
      </c>
      <c r="S58" s="186">
        <f t="shared" si="5"/>
        <v>0</v>
      </c>
      <c r="T58" s="708">
        <f>7</f>
        <v>7</v>
      </c>
      <c r="U58" s="1215" t="str">
        <f t="shared" si="4"/>
        <v>0,0%
=0,0/7,0</v>
      </c>
    </row>
    <row r="59" spans="1:21" ht="15" customHeight="1" thickBot="1" x14ac:dyDescent="0.25">
      <c r="A59" s="551" t="str">
        <f>IF(LEN(КАФЕДРА!A59)&gt;2,КАФЕДРА!A59,"")</f>
        <v>Общественного здоровья и здравоохранения</v>
      </c>
      <c r="B59" s="792" t="str">
        <f>КАФЕДРА!$D59</f>
        <v>ОЗДОРОВЬЯ</v>
      </c>
      <c r="C59" s="186">
        <f>IF(LEN(Кадры!$A59)&gt;2,Кадры!$E59,0)</f>
        <v>0</v>
      </c>
      <c r="D59" s="1797"/>
      <c r="E59" s="1797"/>
      <c r="F59" s="1786"/>
      <c r="G59" s="1810"/>
      <c r="H59" s="1798"/>
      <c r="I59" s="1797"/>
      <c r="J59" s="1797"/>
      <c r="K59" s="1797"/>
      <c r="L59" s="1790"/>
      <c r="M59" s="428">
        <f t="shared" si="6"/>
        <v>0</v>
      </c>
      <c r="N59" s="202">
        <f t="shared" si="7"/>
        <v>0</v>
      </c>
      <c r="S59" s="186">
        <f t="shared" si="5"/>
        <v>0</v>
      </c>
      <c r="T59" s="708">
        <f>7</f>
        <v>7</v>
      </c>
      <c r="U59" s="1215" t="str">
        <f t="shared" si="4"/>
        <v>0,0%
=0,0/7,0</v>
      </c>
    </row>
    <row r="60" spans="1:21" ht="15" customHeight="1" thickBot="1" x14ac:dyDescent="0.25">
      <c r="A60" s="551" t="str">
        <f>IF(LEN(КАФЕДРА!A60)&gt;2,КАФЕДРА!A60,"")</f>
        <v>Пульмонологии и фтизиатрии с курсом ДПО</v>
      </c>
      <c r="B60" s="792" t="str">
        <f>КАФЕДРА!$D60</f>
        <v>ОЗДОРОВЬЯ</v>
      </c>
      <c r="C60" s="186">
        <f>IF(LEN(Кадры!$A60)&gt;2,Кадры!$E60,0)</f>
        <v>0</v>
      </c>
      <c r="D60" s="1797"/>
      <c r="E60" s="1797"/>
      <c r="F60" s="1786"/>
      <c r="G60" s="1810"/>
      <c r="H60" s="1798"/>
      <c r="I60" s="1797"/>
      <c r="J60" s="1797"/>
      <c r="K60" s="1797"/>
      <c r="L60" s="1790"/>
      <c r="M60" s="428">
        <f t="shared" si="6"/>
        <v>0</v>
      </c>
      <c r="N60" s="202">
        <f t="shared" si="7"/>
        <v>0</v>
      </c>
      <c r="S60" s="186">
        <f t="shared" si="5"/>
        <v>0</v>
      </c>
      <c r="T60" s="708">
        <f>7</f>
        <v>7</v>
      </c>
      <c r="U60" s="1215" t="str">
        <f t="shared" si="4"/>
        <v>0,0%
=0,0/7,0</v>
      </c>
    </row>
    <row r="61" spans="1:21" ht="15" customHeight="1" thickBot="1" x14ac:dyDescent="0.25">
      <c r="A61" s="551" t="str">
        <f>IF(LEN(КАФЕДРА!A61)&gt;2,КАФЕДРА!A61,"")</f>
        <v>Эпидемиологии, микробиологии и вирусологии</v>
      </c>
      <c r="B61" s="792" t="str">
        <f>КАФЕДРА!$D61</f>
        <v>ОЗДОРОВЬЯ</v>
      </c>
      <c r="C61" s="186">
        <f>IF(LEN(Кадры!$A61)&gt;2,Кадры!$E61,0)</f>
        <v>0</v>
      </c>
      <c r="D61" s="1797"/>
      <c r="E61" s="1797"/>
      <c r="F61" s="1786"/>
      <c r="G61" s="1810"/>
      <c r="H61" s="1798"/>
      <c r="I61" s="1797"/>
      <c r="J61" s="1797"/>
      <c r="K61" s="1797"/>
      <c r="L61" s="1790"/>
      <c r="M61" s="428">
        <f t="shared" si="6"/>
        <v>0</v>
      </c>
      <c r="N61" s="202">
        <f t="shared" si="7"/>
        <v>0</v>
      </c>
      <c r="S61" s="186">
        <f t="shared" si="5"/>
        <v>0</v>
      </c>
      <c r="T61" s="708">
        <f>7</f>
        <v>7</v>
      </c>
      <c r="U61" s="1215" t="str">
        <f t="shared" si="4"/>
        <v>0,0%
=0,0/7,0</v>
      </c>
    </row>
    <row r="62" spans="1:21" ht="15" customHeight="1" thickBot="1" x14ac:dyDescent="0.25">
      <c r="A62" s="578" t="str">
        <f>IF(LEN(КАФЕДРА!A62)&gt;2,КАФЕДРА!A62,"")</f>
        <v>Социально-гуманитарных наук</v>
      </c>
      <c r="B62" s="793" t="str">
        <f>КАФЕДРА!$D62</f>
        <v>ОЗДОРОВЬЯ</v>
      </c>
      <c r="C62" s="373">
        <f>IF(LEN(Кадры!$A62)&gt;2,Кадры!$E62,0)</f>
        <v>0</v>
      </c>
      <c r="D62" s="1795"/>
      <c r="E62" s="1795"/>
      <c r="F62" s="1783"/>
      <c r="G62" s="2032"/>
      <c r="H62" s="1799"/>
      <c r="I62" s="1795"/>
      <c r="J62" s="1795"/>
      <c r="K62" s="1795"/>
      <c r="L62" s="1792"/>
      <c r="M62" s="595">
        <f t="shared" si="6"/>
        <v>0</v>
      </c>
      <c r="N62" s="592">
        <f t="shared" si="7"/>
        <v>0</v>
      </c>
      <c r="S62" s="1174">
        <f t="shared" si="5"/>
        <v>0</v>
      </c>
      <c r="T62" s="973">
        <f>7</f>
        <v>7</v>
      </c>
      <c r="U62" s="1215" t="str">
        <f t="shared" si="4"/>
        <v>0,0%
=0,0/7,0</v>
      </c>
    </row>
    <row r="63" spans="1:21" ht="15" customHeight="1" thickBot="1" x14ac:dyDescent="0.25">
      <c r="A63" s="579" t="str">
        <f>IF(LEN(КАФЕДРА!A63)&gt;2,КАФЕДРА!A63,"")</f>
        <v>Сестринского дела</v>
      </c>
      <c r="B63" s="794" t="str">
        <f>КАФЕДРА!$D63</f>
        <v>СПО</v>
      </c>
      <c r="C63" s="580">
        <f>IF(LEN(Кадры!$A63)&gt;2,Кадры!$E63,0)</f>
        <v>0</v>
      </c>
      <c r="D63" s="1803"/>
      <c r="E63" s="1803"/>
      <c r="F63" s="1785"/>
      <c r="G63" s="1500"/>
      <c r="H63" s="1811"/>
      <c r="I63" s="1803"/>
      <c r="J63" s="1803"/>
      <c r="K63" s="1803"/>
      <c r="L63" s="1793"/>
      <c r="M63" s="596">
        <f t="shared" si="6"/>
        <v>0</v>
      </c>
      <c r="N63" s="593">
        <f t="shared" si="7"/>
        <v>0</v>
      </c>
      <c r="S63" s="1191">
        <f t="shared" si="5"/>
        <v>0</v>
      </c>
      <c r="T63" s="1209">
        <f>7</f>
        <v>7</v>
      </c>
      <c r="U63" s="1215" t="str">
        <f t="shared" si="4"/>
        <v>0,0%
=0,0/7,0</v>
      </c>
    </row>
    <row r="64" spans="1:21" ht="15" customHeight="1" thickBot="1" x14ac:dyDescent="0.25">
      <c r="A64" s="552" t="str">
        <f>IF(LEN(КАФЕДРА!A64)&gt;2,КАФЕДРА!A64,"")</f>
        <v>Биологической химии, клинической лабораторной диагностики</v>
      </c>
      <c r="B64" s="796" t="str">
        <f>КАФЕДРА!$D64</f>
        <v>ФАРМ</v>
      </c>
      <c r="C64" s="369">
        <f>IF(LEN(Кадры!$A64)&gt;2,Кадры!$E64,0)</f>
        <v>0</v>
      </c>
      <c r="D64" s="1800"/>
      <c r="E64" s="1800"/>
      <c r="F64" s="1784"/>
      <c r="G64" s="1813"/>
      <c r="H64" s="1801"/>
      <c r="I64" s="1800"/>
      <c r="J64" s="1800"/>
      <c r="K64" s="1800"/>
      <c r="L64" s="1791"/>
      <c r="M64" s="428">
        <f t="shared" si="6"/>
        <v>0</v>
      </c>
      <c r="N64" s="202">
        <f t="shared" si="7"/>
        <v>0</v>
      </c>
      <c r="S64" s="370">
        <f t="shared" si="5"/>
        <v>0</v>
      </c>
      <c r="T64" s="1206">
        <f>7</f>
        <v>7</v>
      </c>
      <c r="U64" s="1215" t="str">
        <f t="shared" si="4"/>
        <v>0,0%
=0,0/7,0</v>
      </c>
    </row>
    <row r="65" spans="1:37" ht="15" customHeight="1" thickBot="1" x14ac:dyDescent="0.25">
      <c r="A65" s="551" t="str">
        <f>IF(LEN(КАФЕДРА!A65)&gt;2,КАФЕДРА!A65,"")</f>
        <v>Химии</v>
      </c>
      <c r="B65" s="797" t="str">
        <f>КАФЕДРА!$D65</f>
        <v>ФАРМ</v>
      </c>
      <c r="C65" s="186">
        <f>IF(LEN(Кадры!$A65)&gt;2,Кадры!$E65,0)</f>
        <v>0</v>
      </c>
      <c r="D65" s="1797"/>
      <c r="E65" s="1797"/>
      <c r="F65" s="1786"/>
      <c r="G65" s="1810"/>
      <c r="H65" s="1798"/>
      <c r="I65" s="1797"/>
      <c r="J65" s="1797"/>
      <c r="K65" s="1797"/>
      <c r="L65" s="1790"/>
      <c r="M65" s="428">
        <f t="shared" si="6"/>
        <v>0</v>
      </c>
      <c r="N65" s="202">
        <f t="shared" si="7"/>
        <v>0</v>
      </c>
      <c r="S65" s="186">
        <f t="shared" si="5"/>
        <v>0</v>
      </c>
      <c r="T65" s="708">
        <f>7</f>
        <v>7</v>
      </c>
      <c r="U65" s="1215" t="str">
        <f t="shared" si="4"/>
        <v>0,0%
=0,0/7,0</v>
      </c>
    </row>
    <row r="66" spans="1:37" ht="15" customHeight="1" thickBot="1" x14ac:dyDescent="0.25">
      <c r="A66" s="551" t="str">
        <f>IF(LEN(КАФЕДРА!A66)&gt;2,КАФЕДРА!A66,"")</f>
        <v>Фармакологии имени профессора В.М. Брюханова</v>
      </c>
      <c r="B66" s="797" t="str">
        <f>КАФЕДРА!$D66</f>
        <v>ФАРМ</v>
      </c>
      <c r="C66" s="186">
        <f>IF(LEN(Кадры!$A66)&gt;2,Кадры!$E66,0)</f>
        <v>0</v>
      </c>
      <c r="D66" s="1797"/>
      <c r="E66" s="1797"/>
      <c r="F66" s="1786"/>
      <c r="G66" s="1810"/>
      <c r="H66" s="1798"/>
      <c r="I66" s="1797"/>
      <c r="J66" s="1797"/>
      <c r="K66" s="1797"/>
      <c r="L66" s="1790"/>
      <c r="M66" s="428">
        <f t="shared" si="6"/>
        <v>0</v>
      </c>
      <c r="N66" s="202">
        <f t="shared" si="7"/>
        <v>0</v>
      </c>
      <c r="S66" s="186">
        <f t="shared" si="5"/>
        <v>0</v>
      </c>
      <c r="T66" s="708">
        <f>7</f>
        <v>7</v>
      </c>
      <c r="U66" s="1215" t="str">
        <f t="shared" si="4"/>
        <v>0,0%
=0,0/7,0</v>
      </c>
    </row>
    <row r="67" spans="1:37" ht="15" customHeight="1" thickBot="1" x14ac:dyDescent="0.25">
      <c r="A67" s="551" t="str">
        <f>IF(LEN(КАФЕДРА!A67)&gt;2,КАФЕДРА!A67,"")</f>
        <v>Фармации</v>
      </c>
      <c r="B67" s="797" t="str">
        <f>КАФЕДРА!$D67</f>
        <v>ФАРМ</v>
      </c>
      <c r="C67" s="186">
        <f>IF(LEN(Кадры!$A67)&gt;2,Кадры!$E67,0)</f>
        <v>0</v>
      </c>
      <c r="D67" s="1797"/>
      <c r="E67" s="1797"/>
      <c r="F67" s="1786"/>
      <c r="G67" s="1810"/>
      <c r="H67" s="1798"/>
      <c r="I67" s="1797"/>
      <c r="J67" s="1797"/>
      <c r="K67" s="1797"/>
      <c r="L67" s="1790"/>
      <c r="M67" s="428">
        <f t="shared" si="6"/>
        <v>0</v>
      </c>
      <c r="N67" s="202">
        <f t="shared" si="7"/>
        <v>0</v>
      </c>
      <c r="S67" s="186">
        <f t="shared" si="5"/>
        <v>0</v>
      </c>
      <c r="T67" s="708">
        <f>7</f>
        <v>7</v>
      </c>
      <c r="U67" s="1215" t="str">
        <f t="shared" si="4"/>
        <v>0,0%
=0,0/7,0</v>
      </c>
    </row>
    <row r="68" spans="1:37" ht="15" customHeight="1" thickBot="1" x14ac:dyDescent="0.25">
      <c r="A68" s="578" t="str">
        <f>IF(LEN(КАФЕДРА!A68)&gt;2,КАФЕДРА!A68,"")</f>
        <v>Физики и информатики</v>
      </c>
      <c r="B68" s="798" t="str">
        <f>КАФЕДРА!$D68</f>
        <v>ФАРМ</v>
      </c>
      <c r="C68" s="373">
        <f>IF(LEN(Кадры!$A68)&gt;2,Кадры!$E68,0)</f>
        <v>0</v>
      </c>
      <c r="D68" s="1795"/>
      <c r="E68" s="1795"/>
      <c r="F68" s="1783"/>
      <c r="G68" s="2032"/>
      <c r="H68" s="1799"/>
      <c r="I68" s="1795"/>
      <c r="J68" s="1795"/>
      <c r="K68" s="1795"/>
      <c r="L68" s="1792"/>
      <c r="M68" s="595">
        <f t="shared" si="6"/>
        <v>0</v>
      </c>
      <c r="N68" s="592">
        <f t="shared" si="7"/>
        <v>0</v>
      </c>
      <c r="S68" s="1174">
        <f t="shared" si="5"/>
        <v>0</v>
      </c>
      <c r="T68" s="973">
        <f>7</f>
        <v>7</v>
      </c>
      <c r="U68" s="1215" t="str">
        <f t="shared" si="4"/>
        <v>0,0%
=0,0/7,0</v>
      </c>
    </row>
    <row r="69" spans="1:37" ht="15" customHeight="1" thickBot="1" x14ac:dyDescent="0.25">
      <c r="A69" s="552" t="str">
        <f>IF(LEN(КАФЕДРА!A69)&gt;2,КАФЕДРА!A69,"")</f>
        <v>Клинической психологии</v>
      </c>
      <c r="B69" s="799" t="str">
        <f>КАФЕДРА!$D69</f>
        <v>КПСИХОЛОГИИ</v>
      </c>
      <c r="C69" s="369">
        <f>IF(LEN(Кадры!$A69)&gt;2,Кадры!$E69,0)</f>
        <v>0</v>
      </c>
      <c r="D69" s="1800"/>
      <c r="E69" s="1800"/>
      <c r="F69" s="1788"/>
      <c r="G69" s="1813"/>
      <c r="H69" s="1801"/>
      <c r="I69" s="1800"/>
      <c r="J69" s="1800"/>
      <c r="K69" s="1800"/>
      <c r="L69" s="1791"/>
      <c r="M69" s="428">
        <f t="shared" si="6"/>
        <v>0</v>
      </c>
      <c r="N69" s="202">
        <f t="shared" si="7"/>
        <v>0</v>
      </c>
      <c r="S69" s="370">
        <f t="shared" si="5"/>
        <v>0</v>
      </c>
      <c r="T69" s="1206">
        <f>7</f>
        <v>7</v>
      </c>
      <c r="U69" s="1215" t="str">
        <f t="shared" si="4"/>
        <v>0,0%
=0,0/7,0</v>
      </c>
    </row>
    <row r="70" spans="1:37" ht="15" customHeight="1" thickBot="1" x14ac:dyDescent="0.25">
      <c r="A70" s="551" t="str">
        <f>IF(LEN(КАФЕДРА!A70)&gt;2,КАФЕДРА!A70,"")</f>
        <v>Медицинской реабилитологии с курсом ДПО</v>
      </c>
      <c r="B70" s="800" t="str">
        <f>КАФЕДРА!$D70</f>
        <v>КПСИХОЛОГИИ</v>
      </c>
      <c r="C70" s="186">
        <f>IF(LEN(Кадры!$A70)&gt;2,Кадры!$E70,0)</f>
        <v>0</v>
      </c>
      <c r="D70" s="1797"/>
      <c r="E70" s="1797"/>
      <c r="F70" s="1786"/>
      <c r="G70" s="1810"/>
      <c r="H70" s="1798"/>
      <c r="I70" s="1797"/>
      <c r="J70" s="1797"/>
      <c r="K70" s="1797"/>
      <c r="L70" s="1790"/>
      <c r="M70" s="428">
        <f t="shared" si="6"/>
        <v>0</v>
      </c>
      <c r="N70" s="202">
        <f t="shared" si="7"/>
        <v>0</v>
      </c>
      <c r="S70" s="186">
        <f t="shared" si="5"/>
        <v>0</v>
      </c>
      <c r="T70" s="708">
        <f>7</f>
        <v>7</v>
      </c>
      <c r="U70" s="1215" t="str">
        <f t="shared" si="4"/>
        <v>0,0%
=0,0/7,0</v>
      </c>
    </row>
    <row r="71" spans="1:37" ht="15" customHeight="1" thickBot="1" x14ac:dyDescent="0.25">
      <c r="A71" s="551" t="str">
        <f>IF(LEN(КАФЕДРА!A71)&gt;2,КАФЕДРА!A71,"")</f>
        <v>Психиатрии, медицинской психологии и наркологии с курсом ДПО</v>
      </c>
      <c r="B71" s="800" t="str">
        <f>КАФЕДРА!$D71</f>
        <v>КПСИХОЛОГИИ</v>
      </c>
      <c r="C71" s="186">
        <f>IF(LEN(Кадры!$A71)&gt;2,Кадры!$E71,0)</f>
        <v>0</v>
      </c>
      <c r="D71" s="1797"/>
      <c r="E71" s="1797"/>
      <c r="F71" s="1786"/>
      <c r="G71" s="1810"/>
      <c r="H71" s="1798"/>
      <c r="I71" s="1797"/>
      <c r="J71" s="1797"/>
      <c r="K71" s="1797"/>
      <c r="L71" s="1790"/>
      <c r="M71" s="428">
        <f t="shared" si="6"/>
        <v>0</v>
      </c>
      <c r="N71" s="202">
        <f t="shared" si="7"/>
        <v>0</v>
      </c>
      <c r="S71" s="186">
        <f t="shared" si="5"/>
        <v>0</v>
      </c>
      <c r="T71" s="708">
        <f>7</f>
        <v>7</v>
      </c>
      <c r="U71" s="1215" t="str">
        <f t="shared" si="4"/>
        <v>0,0%
=0,0/7,0</v>
      </c>
    </row>
    <row r="72" spans="1:37" ht="15" customHeight="1" thickBot="1" x14ac:dyDescent="0.25">
      <c r="A72" s="551" t="str">
        <f>IF(LEN(КАФЕДРА!A72)&gt;2,КАФЕДРА!A72,"")</f>
        <v>Философии</v>
      </c>
      <c r="B72" s="800" t="str">
        <f>КАФЕДРА!$D72</f>
        <v>КПСИХОЛОГИИ</v>
      </c>
      <c r="C72" s="186">
        <f>IF(LEN(Кадры!$A72)&gt;2,Кадры!$E72,0)</f>
        <v>0</v>
      </c>
      <c r="D72" s="1797"/>
      <c r="E72" s="1797"/>
      <c r="F72" s="1786"/>
      <c r="G72" s="1810"/>
      <c r="H72" s="1798"/>
      <c r="I72" s="1797"/>
      <c r="J72" s="1797"/>
      <c r="K72" s="1797"/>
      <c r="L72" s="1790"/>
      <c r="M72" s="741">
        <f t="shared" si="6"/>
        <v>0</v>
      </c>
      <c r="N72" s="719">
        <f t="shared" si="7"/>
        <v>0</v>
      </c>
      <c r="S72" s="186">
        <f t="shared" si="5"/>
        <v>0</v>
      </c>
      <c r="T72" s="868">
        <f>7</f>
        <v>7</v>
      </c>
      <c r="U72" s="1215" t="str">
        <f t="shared" si="4"/>
        <v>0,0%
=0,0/7,0</v>
      </c>
    </row>
    <row r="73" spans="1:37" s="767" customFormat="1" ht="15" customHeight="1" thickBot="1" x14ac:dyDescent="0.25">
      <c r="A73" s="877" t="str">
        <f>IF(LEN(КАФЕДРА!A73)&gt;2,КАФЕДРА!A73,"")</f>
        <v>Истории</v>
      </c>
      <c r="B73" s="878" t="str">
        <f>КАФЕДРА!$D73</f>
        <v>КПСИХОЛОГИИ</v>
      </c>
      <c r="C73" s="882">
        <f>IF(LEN(Кадры!$A73)&gt;2,Кадры!$E73,0)</f>
        <v>0</v>
      </c>
      <c r="D73" s="1787"/>
      <c r="E73" s="1787"/>
      <c r="F73" s="1789"/>
      <c r="G73" s="1217"/>
      <c r="H73" s="1812"/>
      <c r="I73" s="1787"/>
      <c r="J73" s="1787"/>
      <c r="K73" s="1787"/>
      <c r="L73" s="1794"/>
      <c r="M73" s="883">
        <f t="shared" si="6"/>
        <v>0</v>
      </c>
      <c r="N73" s="374">
        <f t="shared" si="7"/>
        <v>0</v>
      </c>
      <c r="R73" s="402"/>
      <c r="S73" s="1208">
        <f t="shared" si="5"/>
        <v>0</v>
      </c>
      <c r="T73" s="1207">
        <f>7</f>
        <v>7</v>
      </c>
      <c r="U73" s="1215" t="str">
        <f t="shared" si="4"/>
        <v>0,0%
=0,0/7,0</v>
      </c>
    </row>
    <row r="74" spans="1:37" ht="15" customHeight="1" thickBot="1" x14ac:dyDescent="0.25">
      <c r="A74" s="552" t="str">
        <f>IF(LEN(КАФЕДРА!A74)&gt;2,КАФЕДРА!A74,"")</f>
        <v>Иностранных языков с курсом латинского языка</v>
      </c>
      <c r="B74" s="795" t="str">
        <f>КАФЕДРА!$D74</f>
        <v>ФИС</v>
      </c>
      <c r="C74" s="369">
        <f>IF(LEN(Кадры!$A74)&gt;2,Кадры!$E74,0)</f>
        <v>0</v>
      </c>
      <c r="D74" s="1800"/>
      <c r="E74" s="1800"/>
      <c r="F74" s="1788"/>
      <c r="G74" s="2030"/>
      <c r="H74" s="1801"/>
      <c r="I74" s="1800"/>
      <c r="J74" s="1800"/>
      <c r="K74" s="1800"/>
      <c r="L74" s="1791"/>
      <c r="M74" s="428">
        <f t="shared" si="6"/>
        <v>0</v>
      </c>
      <c r="N74" s="202">
        <f t="shared" si="7"/>
        <v>0</v>
      </c>
      <c r="S74" s="370">
        <f t="shared" si="5"/>
        <v>0</v>
      </c>
      <c r="T74" s="1206">
        <f>7</f>
        <v>7</v>
      </c>
      <c r="U74" s="1215" t="str">
        <f t="shared" si="4"/>
        <v>0,0%
=0,0/7,0</v>
      </c>
    </row>
    <row r="75" spans="1:37" ht="15" customHeight="1" thickBot="1" x14ac:dyDescent="0.25">
      <c r="A75" s="1172" t="str">
        <f>IF(LEN(КАФЕДРА!A75)&gt;2,КАФЕДРА!A75,"")</f>
        <v>Русского языка как иностранного</v>
      </c>
      <c r="B75" s="975" t="str">
        <f>КАФЕДРА!$D75</f>
        <v>ФИС</v>
      </c>
      <c r="C75" s="373">
        <f>IF(LEN(Кадры!$A75)&gt;2,Кадры!$E75,0)</f>
        <v>0</v>
      </c>
      <c r="D75" s="1804"/>
      <c r="E75" s="1804"/>
      <c r="F75" s="1796"/>
      <c r="G75" s="2032"/>
      <c r="H75" s="1806"/>
      <c r="I75" s="1804"/>
      <c r="J75" s="1804"/>
      <c r="K75" s="1804"/>
      <c r="L75" s="1805"/>
      <c r="M75" s="1202">
        <f t="shared" si="6"/>
        <v>0</v>
      </c>
      <c r="N75" s="368">
        <f t="shared" si="7"/>
        <v>0</v>
      </c>
      <c r="O75" s="767"/>
      <c r="P75" s="767"/>
      <c r="Q75" s="767"/>
      <c r="S75" s="1174">
        <f t="shared" si="5"/>
        <v>0</v>
      </c>
      <c r="T75" s="973">
        <f>7</f>
        <v>7</v>
      </c>
      <c r="U75" s="1215" t="str">
        <f t="shared" si="4"/>
        <v>0,0%
=0,0/7,0</v>
      </c>
      <c r="V75" s="372"/>
      <c r="W75" s="372"/>
      <c r="X75" s="372"/>
      <c r="Y75" s="372"/>
      <c r="Z75" s="372"/>
      <c r="AA75" s="372"/>
      <c r="AB75" s="372"/>
      <c r="AC75" s="372"/>
      <c r="AD75" s="372"/>
      <c r="AE75" s="372"/>
      <c r="AF75" s="372"/>
      <c r="AG75" s="372"/>
      <c r="AH75" s="372"/>
      <c r="AI75" s="372"/>
      <c r="AJ75" s="372"/>
      <c r="AK75" s="372"/>
    </row>
    <row r="76" spans="1:37" ht="15" customHeight="1" thickBot="1" x14ac:dyDescent="0.25">
      <c r="A76" s="1206" t="s">
        <v>501</v>
      </c>
      <c r="B76" s="1196" t="str">
        <f>КАФЕДРА!$D76</f>
        <v>ОиДПО</v>
      </c>
      <c r="C76" s="1208">
        <f>IF(LEN(Кадры!$A76)&gt;2,Кадры!$E76,0)</f>
        <v>0</v>
      </c>
      <c r="D76" s="1807"/>
      <c r="E76" s="1807"/>
      <c r="F76" s="1807"/>
      <c r="G76" s="1813"/>
      <c r="H76" s="1807"/>
      <c r="I76" s="1807"/>
      <c r="J76" s="1807"/>
      <c r="K76" s="1807"/>
      <c r="L76" s="1807"/>
      <c r="M76" s="1204">
        <f t="shared" si="6"/>
        <v>0</v>
      </c>
      <c r="N76" s="1360">
        <f t="shared" si="7"/>
        <v>0</v>
      </c>
      <c r="O76" s="767"/>
      <c r="P76" s="767"/>
      <c r="Q76" s="767"/>
      <c r="S76" s="370">
        <f t="shared" si="5"/>
        <v>0</v>
      </c>
      <c r="T76" s="1206">
        <f>7</f>
        <v>7</v>
      </c>
      <c r="U76" s="1215" t="str">
        <f t="shared" si="4"/>
        <v>0,0%
=0,0/7,0</v>
      </c>
      <c r="V76" s="372"/>
      <c r="W76" s="372"/>
      <c r="X76" s="372"/>
      <c r="Y76" s="372"/>
      <c r="Z76" s="372"/>
      <c r="AA76" s="372"/>
      <c r="AB76" s="372"/>
      <c r="AC76" s="372"/>
      <c r="AD76" s="372"/>
      <c r="AE76" s="372"/>
      <c r="AF76" s="372"/>
      <c r="AG76" s="372"/>
      <c r="AH76" s="372"/>
      <c r="AI76" s="372"/>
      <c r="AJ76" s="372"/>
      <c r="AK76" s="372"/>
    </row>
    <row r="77" spans="1:37" ht="15" customHeight="1" thickBot="1" x14ac:dyDescent="0.25">
      <c r="A77" s="731" t="s">
        <v>502</v>
      </c>
      <c r="B77" s="1475" t="str">
        <f>КАФЕДРА!$D77</f>
        <v>ОиДПО</v>
      </c>
      <c r="C77" s="1174">
        <f>IF(LEN(Кадры!$A77)&gt;2,Кадры!$E77,0)</f>
        <v>0</v>
      </c>
      <c r="D77" s="1795"/>
      <c r="E77" s="1795"/>
      <c r="F77" s="1795"/>
      <c r="G77" s="2032"/>
      <c r="H77" s="1795"/>
      <c r="I77" s="1795"/>
      <c r="J77" s="1795"/>
      <c r="K77" s="1795"/>
      <c r="L77" s="1795"/>
      <c r="M77" s="595">
        <f t="shared" si="6"/>
        <v>0</v>
      </c>
      <c r="N77" s="592">
        <f t="shared" si="7"/>
        <v>0</v>
      </c>
      <c r="S77" s="1208">
        <f t="shared" si="5"/>
        <v>0</v>
      </c>
      <c r="T77" s="1207">
        <f>7</f>
        <v>7</v>
      </c>
      <c r="U77" s="1215" t="str">
        <f t="shared" si="4"/>
        <v>0,0%
=0,0/7,0</v>
      </c>
    </row>
    <row r="78" spans="1:37" x14ac:dyDescent="0.2">
      <c r="C78" s="371"/>
      <c r="G78" s="371"/>
      <c r="S78" s="371"/>
      <c r="T78" s="371"/>
      <c r="U78" s="371"/>
    </row>
  </sheetData>
  <mergeCells count="3">
    <mergeCell ref="D9:G9"/>
    <mergeCell ref="H9:K9"/>
    <mergeCell ref="D12:F12"/>
  </mergeCells>
  <conditionalFormatting sqref="D20:L77">
    <cfRule type="cellIs" dxfId="103" priority="1" operator="greaterThan">
      <formula>0</formula>
    </cfRule>
  </conditionalFormatting>
  <hyperlinks>
    <hyperlink ref="A6" location="КАФЕДРА!R21C106" display="← на общую страницу"/>
  </hyperlinks>
  <pageMargins left="0.23622047244094491" right="0.23622047244094491" top="0.35433070866141736" bottom="0.35433070866141736" header="0" footer="0"/>
  <pageSetup paperSize="9" scale="57" orientation="landscape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59999389629810485"/>
  </sheetPr>
  <dimension ref="A1:AM152"/>
  <sheetViews>
    <sheetView topLeftCell="A4" zoomScale="80" zoomScaleNormal="80" workbookViewId="0">
      <selection activeCell="X31" sqref="X31"/>
    </sheetView>
  </sheetViews>
  <sheetFormatPr defaultColWidth="9.140625" defaultRowHeight="14.25" x14ac:dyDescent="0.2"/>
  <cols>
    <col min="1" max="1" width="50.7109375" style="31" customWidth="1"/>
    <col min="2" max="2" width="16.7109375" style="182" customWidth="1"/>
    <col min="3" max="3" width="8" style="182" customWidth="1"/>
    <col min="4" max="4" width="7.42578125" style="182" customWidth="1"/>
    <col min="5" max="5" width="6" style="182" customWidth="1"/>
    <col min="6" max="6" width="7.28515625" style="182" customWidth="1"/>
    <col min="7" max="7" width="7" style="182" customWidth="1"/>
    <col min="8" max="8" width="7.5703125" style="182" customWidth="1"/>
    <col min="9" max="9" width="8.42578125" style="182" customWidth="1"/>
    <col min="10" max="10" width="9.140625" style="182" customWidth="1"/>
    <col min="11" max="11" width="7.140625" style="182" customWidth="1"/>
    <col min="12" max="12" width="7.7109375" style="182" customWidth="1"/>
    <col min="13" max="13" width="7.85546875" style="182" customWidth="1"/>
    <col min="14" max="14" width="12.5703125" style="182" customWidth="1"/>
    <col min="15" max="17" width="9.140625" style="182"/>
    <col min="18" max="18" width="2.140625" style="402" customWidth="1"/>
    <col min="19" max="20" width="9.140625" style="182"/>
    <col min="21" max="21" width="17.85546875" style="182" customWidth="1"/>
    <col min="22" max="16384" width="9.140625" style="182"/>
  </cols>
  <sheetData>
    <row r="1" spans="1:21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257"/>
      <c r="E1" s="257"/>
      <c r="F1" s="257"/>
      <c r="G1" s="257"/>
      <c r="H1" s="257"/>
      <c r="I1" s="257"/>
      <c r="J1" s="257"/>
      <c r="K1" s="257"/>
      <c r="L1" s="674"/>
      <c r="M1" s="181"/>
      <c r="S1" s="182">
        <v>183</v>
      </c>
      <c r="T1" s="182">
        <v>184</v>
      </c>
      <c r="U1" s="711">
        <v>185</v>
      </c>
    </row>
    <row r="2" spans="1:21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</row>
    <row r="3" spans="1:21" hidden="1" x14ac:dyDescent="0.2">
      <c r="A3" s="182"/>
    </row>
    <row r="4" spans="1:21" s="293" customFormat="1" x14ac:dyDescent="0.2">
      <c r="R4" s="402"/>
    </row>
    <row r="5" spans="1:21" ht="22.5" x14ac:dyDescent="0.3">
      <c r="A5" s="209" t="s">
        <v>477</v>
      </c>
      <c r="D5" s="183"/>
      <c r="H5" s="677"/>
      <c r="I5" s="257"/>
      <c r="J5" s="675"/>
      <c r="K5" s="678"/>
      <c r="L5" s="183"/>
    </row>
    <row r="6" spans="1:21" ht="17.25" customHeight="1" x14ac:dyDescent="0.35">
      <c r="A6" s="183" t="s">
        <v>76</v>
      </c>
      <c r="D6" s="386" t="s">
        <v>299</v>
      </c>
      <c r="H6" s="257"/>
      <c r="I6" s="257"/>
      <c r="J6" s="257"/>
      <c r="K6" s="257"/>
    </row>
    <row r="7" spans="1:21" ht="18" x14ac:dyDescent="0.25">
      <c r="A7" s="477" t="s">
        <v>242</v>
      </c>
      <c r="D7" s="185" t="s">
        <v>488</v>
      </c>
      <c r="H7" s="257"/>
      <c r="I7" s="257"/>
      <c r="J7" s="257"/>
      <c r="K7" s="257"/>
    </row>
    <row r="8" spans="1:21" ht="15" customHeight="1" x14ac:dyDescent="0.2">
      <c r="A8" s="444">
        <f ca="1">NOW()</f>
        <v>45929.466219097223</v>
      </c>
      <c r="D8" s="676"/>
      <c r="E8" s="676"/>
      <c r="F8" s="676"/>
      <c r="G8" s="676"/>
      <c r="H8" s="676"/>
      <c r="I8" s="676"/>
      <c r="J8" s="676"/>
      <c r="K8" s="676"/>
      <c r="L8" s="676"/>
    </row>
    <row r="9" spans="1:21" ht="19.5" customHeight="1" x14ac:dyDescent="0.2">
      <c r="A9" s="387" t="str">
        <f>ТИТУЛ!$B$22&amp;" квартал "&amp;ТИТУЛ!$D$22&amp;" года"</f>
        <v>2 квартал 2024 года</v>
      </c>
      <c r="D9" s="2340"/>
      <c r="E9" s="2340"/>
      <c r="F9" s="2340"/>
      <c r="G9" s="2340"/>
      <c r="H9" s="2340"/>
      <c r="I9" s="2340"/>
      <c r="J9" s="2340"/>
      <c r="K9" s="2340"/>
      <c r="L9" s="1084"/>
      <c r="M9" s="1083"/>
    </row>
    <row r="10" spans="1:21" ht="13.5" customHeight="1" x14ac:dyDescent="0.2">
      <c r="A10" s="1218"/>
      <c r="B10" s="419"/>
      <c r="C10" s="419"/>
      <c r="D10" s="419"/>
      <c r="E10" s="419"/>
      <c r="F10" s="419"/>
      <c r="G10" s="419"/>
      <c r="H10" s="419"/>
      <c r="I10" s="419"/>
      <c r="J10" s="419"/>
      <c r="K10" s="419"/>
      <c r="L10" s="419"/>
    </row>
    <row r="11" spans="1:21" ht="13.5" customHeight="1" x14ac:dyDescent="0.2">
      <c r="A11" s="108"/>
      <c r="B11" s="419"/>
      <c r="C11" s="275" t="s">
        <v>5</v>
      </c>
      <c r="D11" s="275">
        <v>7</v>
      </c>
      <c r="E11" s="275">
        <v>5</v>
      </c>
      <c r="F11" s="275">
        <v>3</v>
      </c>
      <c r="G11" s="275">
        <v>1</v>
      </c>
      <c r="H11" s="275">
        <v>2</v>
      </c>
      <c r="I11" s="275">
        <v>3</v>
      </c>
      <c r="J11" s="275">
        <v>5</v>
      </c>
      <c r="K11" s="275">
        <v>7</v>
      </c>
      <c r="L11" s="1213">
        <v>1</v>
      </c>
    </row>
    <row r="12" spans="1:21" ht="64.5" customHeight="1" x14ac:dyDescent="0.2">
      <c r="A12" s="146"/>
      <c r="B12" s="257"/>
      <c r="C12" s="257"/>
      <c r="D12" s="2341" t="s">
        <v>478</v>
      </c>
      <c r="E12" s="2217"/>
      <c r="F12" s="2342"/>
      <c r="G12" s="257"/>
      <c r="H12" s="257"/>
      <c r="I12" s="257"/>
      <c r="J12" s="257"/>
      <c r="K12" s="257"/>
      <c r="L12" s="257"/>
      <c r="M12" s="257"/>
    </row>
    <row r="13" spans="1:21" ht="256.5" customHeight="1" x14ac:dyDescent="0.2">
      <c r="A13" s="60"/>
      <c r="B13" s="385" t="s">
        <v>327</v>
      </c>
      <c r="C13" s="192" t="s">
        <v>320</v>
      </c>
      <c r="D13" s="663" t="s">
        <v>479</v>
      </c>
      <c r="E13" s="663" t="s">
        <v>480</v>
      </c>
      <c r="F13" s="681" t="s">
        <v>481</v>
      </c>
      <c r="G13" s="664" t="s">
        <v>482</v>
      </c>
      <c r="H13" s="679" t="s">
        <v>483</v>
      </c>
      <c r="I13" s="679" t="s">
        <v>484</v>
      </c>
      <c r="J13" s="679" t="s">
        <v>485</v>
      </c>
      <c r="K13" s="679" t="s">
        <v>486</v>
      </c>
      <c r="L13" s="663" t="s">
        <v>487</v>
      </c>
      <c r="M13" s="1082" t="s">
        <v>489</v>
      </c>
      <c r="N13" s="690" t="s">
        <v>6</v>
      </c>
      <c r="S13" s="709" t="s">
        <v>53</v>
      </c>
      <c r="T13" s="709" t="s">
        <v>58</v>
      </c>
      <c r="U13" s="710" t="s">
        <v>41</v>
      </c>
    </row>
    <row r="14" spans="1:21" ht="14.25" hidden="1" customHeight="1" x14ac:dyDescent="0.2">
      <c r="A14" s="58"/>
      <c r="B14" s="195"/>
      <c r="C14" s="195"/>
      <c r="D14" s="195"/>
      <c r="E14" s="195"/>
      <c r="F14" s="523"/>
      <c r="G14" s="195"/>
      <c r="H14" s="195"/>
      <c r="I14" s="195"/>
      <c r="J14" s="195"/>
      <c r="K14" s="195"/>
      <c r="L14" s="195"/>
    </row>
    <row r="15" spans="1:21" ht="14.25" hidden="1" customHeight="1" x14ac:dyDescent="0.2">
      <c r="A15" s="67" t="s">
        <v>8</v>
      </c>
      <c r="B15" s="195"/>
      <c r="C15" s="195"/>
      <c r="D15" s="195"/>
      <c r="E15" s="195"/>
      <c r="F15" s="523"/>
      <c r="G15" s="195"/>
      <c r="H15" s="195"/>
      <c r="I15" s="195"/>
      <c r="J15" s="195"/>
      <c r="K15" s="195"/>
      <c r="L15" s="195"/>
    </row>
    <row r="16" spans="1:21" ht="14.25" hidden="1" customHeight="1" x14ac:dyDescent="0.2">
      <c r="A16" s="71" t="s">
        <v>36</v>
      </c>
      <c r="B16" s="195"/>
      <c r="C16" s="195"/>
      <c r="D16" s="195"/>
      <c r="E16" s="195"/>
      <c r="F16" s="523"/>
      <c r="G16" s="195"/>
      <c r="H16" s="195"/>
      <c r="I16" s="195"/>
      <c r="J16" s="195"/>
      <c r="K16" s="195"/>
      <c r="L16" s="195"/>
    </row>
    <row r="17" spans="1:39" ht="14.25" hidden="1" customHeight="1" x14ac:dyDescent="0.2">
      <c r="A17" s="71" t="s">
        <v>36</v>
      </c>
      <c r="B17" s="195"/>
      <c r="C17" s="195"/>
      <c r="D17" s="195"/>
      <c r="E17" s="195"/>
      <c r="F17" s="523"/>
      <c r="G17" s="195"/>
      <c r="H17" s="195"/>
      <c r="I17" s="195"/>
      <c r="J17" s="195"/>
      <c r="K17" s="195"/>
      <c r="L17" s="195"/>
    </row>
    <row r="18" spans="1:39" ht="6.75" customHeight="1" x14ac:dyDescent="0.2">
      <c r="A18" s="80"/>
      <c r="B18" s="197"/>
      <c r="C18" s="197"/>
      <c r="D18" s="197"/>
      <c r="E18" s="197"/>
      <c r="F18" s="524"/>
      <c r="G18" s="197"/>
      <c r="H18" s="197"/>
      <c r="I18" s="197"/>
      <c r="J18" s="197"/>
      <c r="K18" s="197"/>
      <c r="L18" s="197"/>
      <c r="M18" s="199"/>
      <c r="N18" s="199"/>
      <c r="S18" s="199"/>
      <c r="T18" s="199"/>
      <c r="U18" s="189"/>
    </row>
    <row r="19" spans="1:39" x14ac:dyDescent="0.2">
      <c r="A19" s="88" t="s">
        <v>90</v>
      </c>
      <c r="B19" s="200"/>
      <c r="C19" s="427">
        <f>SUM(C$20:C$73)</f>
        <v>0</v>
      </c>
      <c r="D19" s="427">
        <f>SUM(D$20:D$73)</f>
        <v>0</v>
      </c>
      <c r="E19" s="427">
        <f>SUM(E$20:E$73)</f>
        <v>0</v>
      </c>
      <c r="F19" s="682">
        <f t="shared" ref="F19:L19" si="0">SUM(F$20:F$73)</f>
        <v>0</v>
      </c>
      <c r="G19" s="680">
        <f t="shared" si="0"/>
        <v>0</v>
      </c>
      <c r="H19" s="427">
        <f t="shared" si="0"/>
        <v>0</v>
      </c>
      <c r="I19" s="427">
        <f t="shared" si="0"/>
        <v>0</v>
      </c>
      <c r="J19" s="427">
        <f t="shared" si="0"/>
        <v>0</v>
      </c>
      <c r="K19" s="427">
        <f t="shared" si="0"/>
        <v>0</v>
      </c>
      <c r="L19" s="427">
        <f t="shared" si="0"/>
        <v>0</v>
      </c>
      <c r="M19" s="430">
        <f>IF(SUMPRODUCT(D19:L19,$D$11:$L$11)&gt;7,7,SUMPRODUCT(D19:L19,$D$11:$L$11))</f>
        <v>0</v>
      </c>
      <c r="N19" s="430">
        <f>SUM(N20:N27)/COUNT(N20:N27)</f>
        <v>0</v>
      </c>
      <c r="S19" s="430">
        <f t="shared" ref="S19:S27" si="1">M19</f>
        <v>0</v>
      </c>
      <c r="T19" s="430">
        <f>7</f>
        <v>7</v>
      </c>
      <c r="U19" s="1491">
        <f>N19</f>
        <v>0</v>
      </c>
    </row>
    <row r="20" spans="1:39" ht="15" customHeight="1" x14ac:dyDescent="0.2">
      <c r="A20" s="139" t="str">
        <f>ИНСТИТУТ!A20</f>
        <v>Институт клинической медицины</v>
      </c>
      <c r="B20" s="186" t="str">
        <f>КАФЕДРА!$D20</f>
        <v>КМЕДИЦИНЫ</v>
      </c>
      <c r="C20" s="186">
        <f>IF(LEN(Кадры!$A20)&gt;2,Кадры!$E20,0)</f>
        <v>0</v>
      </c>
      <c r="D20" s="744">
        <f>SUMIF(' "Вуз зож"'!$B$20:$B$77,' "Вуз зож" (кафедры)'!$B20,' "Вуз зож"'!D$20:D$77)</f>
        <v>0</v>
      </c>
      <c r="E20" s="744">
        <f>SUMIF(' "Вуз зож"'!$B$20:$B$77,' "Вуз зож" (кафедры)'!$B20,' "Вуз зож"'!E$20:E$77)</f>
        <v>0</v>
      </c>
      <c r="F20" s="744">
        <f>SUMIF(' "Вуз зож"'!$B$20:$B$77,' "Вуз зож" (кафедры)'!$B20,' "Вуз зож"'!F$20:F$77)</f>
        <v>0</v>
      </c>
      <c r="G20" s="744">
        <f>SUMIF(' "Вуз зож"'!$B$20:$B$77,' "Вуз зож" (кафедры)'!$B20,' "Вуз зож"'!G$20:G$77)</f>
        <v>0</v>
      </c>
      <c r="H20" s="744">
        <f>SUMIF(' "Вуз зож"'!$B$20:$B$77,' "Вуз зож" (кафедры)'!$B20,' "Вуз зож"'!H$20:H$77)</f>
        <v>0</v>
      </c>
      <c r="I20" s="744">
        <f>SUMIF(' "Вуз зож"'!$B$20:$B$77,' "Вуз зож" (кафедры)'!$B20,' "Вуз зож"'!I$20:I$77)</f>
        <v>0</v>
      </c>
      <c r="J20" s="744">
        <f>SUMIF(' "Вуз зож"'!$B$20:$B$77,' "Вуз зож" (кафедры)'!$B20,' "Вуз зож"'!J$20:J$77)</f>
        <v>0</v>
      </c>
      <c r="K20" s="744">
        <f>SUMIF(' "Вуз зож"'!$B$20:$B$77,' "Вуз зож" (кафедры)'!$B20,' "Вуз зож"'!K$20:K$77)</f>
        <v>0</v>
      </c>
      <c r="L20" s="744">
        <f>SUMIF(' "Вуз зож"'!$B$20:$B$77,' "Вуз зож" (кафедры)'!$B20,' "Вуз зож"'!L$20:L$77)</f>
        <v>0</v>
      </c>
      <c r="M20" s="202">
        <f>SUMIF(' "Вуз зож"'!B20:B77,' "Вуз зож" (кафедры)'!B20,' "Вуз зож"'!M20:M77)/COUNTIF(' "Вуз зож"'!B20:B77,' "Вуз зож" (кафедры)'!B20)</f>
        <v>0</v>
      </c>
      <c r="N20" s="202">
        <f t="shared" ref="N20:N27" si="2">IF(M20=7,100,M20/7*100)</f>
        <v>0</v>
      </c>
      <c r="S20" s="186">
        <f t="shared" si="1"/>
        <v>0</v>
      </c>
      <c r="T20" s="1197">
        <f>7</f>
        <v>7</v>
      </c>
      <c r="U20" s="1198">
        <f>IF(S20=0,0,TEXT(S20/T20*100,"0,0")&amp;"%
="&amp;TEXT(S20,"0,0")&amp;"/"&amp;TEXT(T20,"0,0"))</f>
        <v>0</v>
      </c>
      <c r="AM20" s="262"/>
    </row>
    <row r="21" spans="1:39" ht="15" customHeight="1" x14ac:dyDescent="0.2">
      <c r="A21" s="139" t="str">
        <f>ИНСТИТУТ!A21</f>
        <v>Институт педиатрии</v>
      </c>
      <c r="B21" s="186" t="str">
        <f>КАФЕДРА!D37</f>
        <v>ПЕДИАТРИИ</v>
      </c>
      <c r="C21" s="186">
        <f>IF(LEN(Кадры!$A21)&gt;2,Кадры!$E21,0)</f>
        <v>0</v>
      </c>
      <c r="D21" s="744">
        <f>SUMIF(' "Вуз зож"'!$B$20:$B$77,' "Вуз зож" (кафедры)'!$B21,' "Вуз зож"'!D$20:D$77)</f>
        <v>0</v>
      </c>
      <c r="E21" s="744">
        <f>SUMIF(' "Вуз зож"'!$B$20:$B$77,' "Вуз зож" (кафедры)'!$B21,' "Вуз зож"'!E$20:E$77)</f>
        <v>0</v>
      </c>
      <c r="F21" s="744">
        <f>SUMIF(' "Вуз зож"'!$B$20:$B$77,' "Вуз зож" (кафедры)'!$B21,' "Вуз зож"'!F$20:F$77)</f>
        <v>0</v>
      </c>
      <c r="G21" s="744">
        <f>SUMIF(' "Вуз зож"'!$B$20:$B$77,' "Вуз зож" (кафедры)'!$B21,' "Вуз зож"'!G$20:G$77)</f>
        <v>0</v>
      </c>
      <c r="H21" s="744">
        <f>SUMIF(' "Вуз зож"'!$B$20:$B$77,' "Вуз зож" (кафедры)'!$B21,' "Вуз зож"'!H$20:H$77)</f>
        <v>0</v>
      </c>
      <c r="I21" s="744">
        <f>SUMIF(' "Вуз зож"'!$B$20:$B$77,' "Вуз зож" (кафедры)'!$B21,' "Вуз зож"'!I$20:I$77)</f>
        <v>0</v>
      </c>
      <c r="J21" s="744">
        <f>SUMIF(' "Вуз зож"'!$B$20:$B$77,' "Вуз зож" (кафедры)'!$B21,' "Вуз зож"'!J$20:J$77)</f>
        <v>0</v>
      </c>
      <c r="K21" s="744">
        <f>SUMIF(' "Вуз зож"'!$B$20:$B$77,' "Вуз зож" (кафедры)'!$B21,' "Вуз зож"'!K$20:K$77)</f>
        <v>0</v>
      </c>
      <c r="L21" s="744">
        <f>SUMIF(' "Вуз зож"'!$B$20:$B$77,' "Вуз зож" (кафедры)'!$B21,' "Вуз зож"'!L$20:L$77)</f>
        <v>0</v>
      </c>
      <c r="M21" s="954">
        <f>SUMIF(' "Вуз зож"'!B21:B78,' "Вуз зож" (кафедры)'!B21,' "Вуз зож"'!M21:M78)/COUNTIF(' "Вуз зож"'!B21:B78,' "Вуз зож" (кафедры)'!B21)</f>
        <v>0</v>
      </c>
      <c r="N21" s="202">
        <f t="shared" si="2"/>
        <v>0</v>
      </c>
      <c r="S21" s="186">
        <f t="shared" si="1"/>
        <v>0</v>
      </c>
      <c r="T21" s="1197">
        <f>7</f>
        <v>7</v>
      </c>
      <c r="U21" s="1198">
        <f t="shared" ref="U21:U27" si="3">IF(S21=0,0,TEXT(S21/T21*100,"0,0")&amp;"%
="&amp;TEXT(S21,"0,0")&amp;"/"&amp;TEXT(T21,"0,0"))</f>
        <v>0</v>
      </c>
    </row>
    <row r="22" spans="1:39" ht="15" customHeight="1" x14ac:dyDescent="0.2">
      <c r="A22" s="139" t="str">
        <f>ИНСТИТУТ!A22</f>
        <v>Институт стоматологии</v>
      </c>
      <c r="B22" s="186" t="str">
        <f>КАФЕДРА!D48</f>
        <v>СТОМ</v>
      </c>
      <c r="C22" s="186">
        <f>IF(LEN(Кадры!$A22)&gt;2,Кадры!$E22,0)</f>
        <v>0</v>
      </c>
      <c r="D22" s="744">
        <f>SUMIF(' "Вуз зож"'!$B$20:$B$77,' "Вуз зож" (кафедры)'!$B22,' "Вуз зож"'!D$20:D$77)</f>
        <v>0</v>
      </c>
      <c r="E22" s="744">
        <f>SUMIF(' "Вуз зож"'!$B$20:$B$77,' "Вуз зож" (кафедры)'!$B22,' "Вуз зож"'!E$20:E$77)</f>
        <v>0</v>
      </c>
      <c r="F22" s="744">
        <f>SUMIF(' "Вуз зож"'!$B$20:$B$77,' "Вуз зож" (кафедры)'!$B22,' "Вуз зож"'!F$20:F$77)</f>
        <v>0</v>
      </c>
      <c r="G22" s="744">
        <f>SUMIF(' "Вуз зож"'!$B$20:$B$77,' "Вуз зож" (кафедры)'!$B22,' "Вуз зож"'!G$20:G$77)</f>
        <v>0</v>
      </c>
      <c r="H22" s="744">
        <f>SUMIF(' "Вуз зож"'!$B$20:$B$77,' "Вуз зож" (кафедры)'!$B22,' "Вуз зож"'!H$20:H$77)</f>
        <v>0</v>
      </c>
      <c r="I22" s="744">
        <f>SUMIF(' "Вуз зож"'!$B$20:$B$77,' "Вуз зож" (кафедры)'!$B22,' "Вуз зож"'!I$20:I$77)</f>
        <v>0</v>
      </c>
      <c r="J22" s="744">
        <f>SUMIF(' "Вуз зож"'!$B$20:$B$77,' "Вуз зож" (кафедры)'!$B22,' "Вуз зож"'!J$20:J$77)</f>
        <v>0</v>
      </c>
      <c r="K22" s="744">
        <f>SUMIF(' "Вуз зож"'!$B$20:$B$77,' "Вуз зож" (кафедры)'!$B22,' "Вуз зож"'!K$20:K$77)</f>
        <v>0</v>
      </c>
      <c r="L22" s="744">
        <f>SUMIF(' "Вуз зож"'!$B$20:$B$77,' "Вуз зож" (кафедры)'!$B22,' "Вуз зож"'!L$20:L$77)</f>
        <v>0</v>
      </c>
      <c r="M22" s="954">
        <f>SUMIF(' "Вуз зож"'!B22:B79,' "Вуз зож" (кафедры)'!B22,' "Вуз зож"'!M22:M79)/COUNTIF(' "Вуз зож"'!B22:B79,' "Вуз зож" (кафедры)'!B22)</f>
        <v>0</v>
      </c>
      <c r="N22" s="202">
        <f t="shared" si="2"/>
        <v>0</v>
      </c>
      <c r="S22" s="186">
        <f t="shared" si="1"/>
        <v>0</v>
      </c>
      <c r="T22" s="1197">
        <f>7</f>
        <v>7</v>
      </c>
      <c r="U22" s="1198">
        <f t="shared" si="3"/>
        <v>0</v>
      </c>
    </row>
    <row r="23" spans="1:39" ht="15" customHeight="1" x14ac:dyDescent="0.2">
      <c r="A23" s="139" t="str">
        <f>ИНСТИТУТ!A23</f>
        <v>Институт общественного здоровья и профилактической медицины</v>
      </c>
      <c r="B23" s="186" t="str">
        <f>Кадры!B53</f>
        <v>ОЗДОРОВЬЯ</v>
      </c>
      <c r="C23" s="186">
        <f>IF(LEN(Кадры!$A23)&gt;2,Кадры!$E23,0)</f>
        <v>0</v>
      </c>
      <c r="D23" s="744">
        <f>SUMIF(' "Вуз зож"'!$B$20:$B$77,' "Вуз зож" (кафедры)'!$B23,' "Вуз зож"'!D$20:D$77)</f>
        <v>0</v>
      </c>
      <c r="E23" s="744">
        <f>SUMIF(' "Вуз зож"'!$B$20:$B$77,' "Вуз зож" (кафедры)'!$B23,' "Вуз зож"'!E$20:E$77)</f>
        <v>0</v>
      </c>
      <c r="F23" s="744">
        <f>SUMIF(' "Вуз зож"'!$B$20:$B$77,' "Вуз зож" (кафедры)'!$B23,' "Вуз зож"'!F$20:F$77)</f>
        <v>0</v>
      </c>
      <c r="G23" s="744">
        <f>SUMIF(' "Вуз зож"'!$B$20:$B$77,' "Вуз зож" (кафедры)'!$B23,' "Вуз зож"'!G$20:G$77)</f>
        <v>0</v>
      </c>
      <c r="H23" s="744">
        <f>SUMIF(' "Вуз зож"'!$B$20:$B$77,' "Вуз зож" (кафедры)'!$B23,' "Вуз зож"'!H$20:H$77)</f>
        <v>0</v>
      </c>
      <c r="I23" s="744">
        <f>SUMIF(' "Вуз зож"'!$B$20:$B$77,' "Вуз зож" (кафедры)'!$B23,' "Вуз зож"'!I$20:I$77)</f>
        <v>0</v>
      </c>
      <c r="J23" s="744">
        <f>SUMIF(' "Вуз зож"'!$B$20:$B$77,' "Вуз зож" (кафедры)'!$B23,' "Вуз зож"'!J$20:J$77)</f>
        <v>0</v>
      </c>
      <c r="K23" s="744">
        <f>SUMIF(' "Вуз зож"'!$B$20:$B$77,' "Вуз зож" (кафедры)'!$B23,' "Вуз зож"'!K$20:K$77)</f>
        <v>0</v>
      </c>
      <c r="L23" s="744">
        <f>SUMIF(' "Вуз зож"'!$B$20:$B$77,' "Вуз зож" (кафедры)'!$B23,' "Вуз зож"'!L$20:L$77)</f>
        <v>0</v>
      </c>
      <c r="M23" s="954">
        <f>SUMIF(' "Вуз зож"'!B23:B80,' "Вуз зож" (кафедры)'!B23,' "Вуз зож"'!M23:M80)/COUNTIF(' "Вуз зож"'!B23:B80,' "Вуз зож" (кафедры)'!B23)</f>
        <v>0</v>
      </c>
      <c r="N23" s="202">
        <f t="shared" si="2"/>
        <v>0</v>
      </c>
      <c r="S23" s="186">
        <f t="shared" si="1"/>
        <v>0</v>
      </c>
      <c r="T23" s="1197">
        <f>7</f>
        <v>7</v>
      </c>
      <c r="U23" s="1198">
        <f t="shared" si="3"/>
        <v>0</v>
      </c>
    </row>
    <row r="24" spans="1:39" ht="15" customHeight="1" x14ac:dyDescent="0.2">
      <c r="A24" s="139" t="str">
        <f>ИНСТИТУТ!A24</f>
        <v>Институт фармации</v>
      </c>
      <c r="B24" s="186" t="str">
        <f>Кадры!B68</f>
        <v>ФАРМ</v>
      </c>
      <c r="C24" s="186">
        <f>IF(LEN(Кадры!$A24)&gt;2,Кадры!$E24,0)</f>
        <v>0</v>
      </c>
      <c r="D24" s="744">
        <f>SUMIF(' "Вуз зож"'!$B$20:$B$77,' "Вуз зож" (кафедры)'!$B24,' "Вуз зож"'!D$20:D$77)</f>
        <v>0</v>
      </c>
      <c r="E24" s="744">
        <f>SUMIF(' "Вуз зож"'!$B$20:$B$77,' "Вуз зож" (кафедры)'!$B24,' "Вуз зож"'!E$20:E$77)</f>
        <v>0</v>
      </c>
      <c r="F24" s="744">
        <f>SUMIF(' "Вуз зож"'!$B$20:$B$77,' "Вуз зож" (кафедры)'!$B24,' "Вуз зож"'!F$20:F$77)</f>
        <v>0</v>
      </c>
      <c r="G24" s="744">
        <f>SUMIF(' "Вуз зож"'!$B$20:$B$77,' "Вуз зож" (кафедры)'!$B24,' "Вуз зож"'!G$20:G$77)</f>
        <v>0</v>
      </c>
      <c r="H24" s="744">
        <f>SUMIF(' "Вуз зож"'!$B$20:$B$77,' "Вуз зож" (кафедры)'!$B24,' "Вуз зож"'!H$20:H$77)</f>
        <v>0</v>
      </c>
      <c r="I24" s="744">
        <f>SUMIF(' "Вуз зож"'!$B$20:$B$77,' "Вуз зож" (кафедры)'!$B24,' "Вуз зож"'!I$20:I$77)</f>
        <v>0</v>
      </c>
      <c r="J24" s="744">
        <f>SUMIF(' "Вуз зож"'!$B$20:$B$77,' "Вуз зож" (кафедры)'!$B24,' "Вуз зож"'!J$20:J$77)</f>
        <v>0</v>
      </c>
      <c r="K24" s="744">
        <f>SUMIF(' "Вуз зож"'!$B$20:$B$77,' "Вуз зож" (кафедры)'!$B24,' "Вуз зож"'!K$20:K$77)</f>
        <v>0</v>
      </c>
      <c r="L24" s="744">
        <f>SUMIF(' "Вуз зож"'!$B$20:$B$77,' "Вуз зож" (кафедры)'!$B24,' "Вуз зож"'!L$20:L$77)</f>
        <v>0</v>
      </c>
      <c r="M24" s="954">
        <f>SUMIF(' "Вуз зож"'!B24:B81,' "Вуз зож" (кафедры)'!B24,' "Вуз зож"'!M24:M81)/COUNTIF(' "Вуз зож"'!B24:B81,' "Вуз зож" (кафедры)'!B24)</f>
        <v>0</v>
      </c>
      <c r="N24" s="202">
        <f t="shared" si="2"/>
        <v>0</v>
      </c>
      <c r="S24" s="186">
        <f t="shared" si="1"/>
        <v>0</v>
      </c>
      <c r="T24" s="1197">
        <f>7</f>
        <v>7</v>
      </c>
      <c r="U24" s="1198">
        <f t="shared" si="3"/>
        <v>0</v>
      </c>
    </row>
    <row r="25" spans="1:39" ht="15" customHeight="1" x14ac:dyDescent="0.2">
      <c r="A25" s="139" t="str">
        <f>ИНСТИТУТ!A25</f>
        <v>Институт клинической психологии</v>
      </c>
      <c r="B25" s="186" t="str">
        <f>Кадры!B72</f>
        <v>КПСИХОЛОГИИ</v>
      </c>
      <c r="C25" s="186">
        <f>IF(LEN(Кадры!$A25)&gt;2,Кадры!$E25,0)</f>
        <v>0</v>
      </c>
      <c r="D25" s="744">
        <f>SUMIF(' "Вуз зож"'!$B$20:$B$77,' "Вуз зож" (кафедры)'!$B25,' "Вуз зож"'!D$20:D$77)</f>
        <v>0</v>
      </c>
      <c r="E25" s="744">
        <f>SUMIF(' "Вуз зож"'!$B$20:$B$77,' "Вуз зож" (кафедры)'!$B25,' "Вуз зож"'!E$20:E$77)</f>
        <v>0</v>
      </c>
      <c r="F25" s="744">
        <f>SUMIF(' "Вуз зож"'!$B$20:$B$77,' "Вуз зож" (кафедры)'!$B25,' "Вуз зож"'!F$20:F$77)</f>
        <v>0</v>
      </c>
      <c r="G25" s="744">
        <f>SUMIF(' "Вуз зож"'!$B$20:$B$77,' "Вуз зож" (кафедры)'!$B25,' "Вуз зож"'!G$20:G$77)</f>
        <v>0</v>
      </c>
      <c r="H25" s="744">
        <f>SUMIF(' "Вуз зож"'!$B$20:$B$77,' "Вуз зож" (кафедры)'!$B25,' "Вуз зож"'!H$20:H$77)</f>
        <v>0</v>
      </c>
      <c r="I25" s="744">
        <f>SUMIF(' "Вуз зож"'!$B$20:$B$77,' "Вуз зож" (кафедры)'!$B25,' "Вуз зож"'!I$20:I$77)</f>
        <v>0</v>
      </c>
      <c r="J25" s="744">
        <f>SUMIF(' "Вуз зож"'!$B$20:$B$77,' "Вуз зож" (кафедры)'!$B25,' "Вуз зож"'!J$20:J$77)</f>
        <v>0</v>
      </c>
      <c r="K25" s="744">
        <f>SUMIF(' "Вуз зож"'!$B$20:$B$77,' "Вуз зож" (кафедры)'!$B25,' "Вуз зож"'!K$20:K$77)</f>
        <v>0</v>
      </c>
      <c r="L25" s="744">
        <f>SUMIF(' "Вуз зож"'!$B$20:$B$77,' "Вуз зож" (кафедры)'!$B25,' "Вуз зож"'!L$20:L$77)</f>
        <v>0</v>
      </c>
      <c r="M25" s="954">
        <f>SUMIF(' "Вуз зож"'!B25:B82,' "Вуз зож" (кафедры)'!B25,' "Вуз зож"'!M25:M82)/COUNTIF(' "Вуз зож"'!B25:B82,' "Вуз зож" (кафедры)'!B25)</f>
        <v>0</v>
      </c>
      <c r="N25" s="202">
        <f t="shared" si="2"/>
        <v>0</v>
      </c>
      <c r="S25" s="186">
        <f t="shared" si="1"/>
        <v>0</v>
      </c>
      <c r="T25" s="1197">
        <f>7</f>
        <v>7</v>
      </c>
      <c r="U25" s="1198">
        <f t="shared" si="3"/>
        <v>0</v>
      </c>
    </row>
    <row r="26" spans="1:39" ht="15" customHeight="1" x14ac:dyDescent="0.2">
      <c r="A26" s="139" t="str">
        <f>ИНСТИТУТ!A26</f>
        <v>Институт среднего профессионального образования</v>
      </c>
      <c r="B26" s="186" t="str">
        <f>Кадры!B63</f>
        <v>СПО</v>
      </c>
      <c r="C26" s="186">
        <f>IF(LEN(Кадры!$A26)&gt;2,Кадры!$E26,0)</f>
        <v>0</v>
      </c>
      <c r="D26" s="744">
        <f>SUMIF(' "Вуз зож"'!$B$20:$B$77,' "Вуз зож" (кафедры)'!$B26,' "Вуз зож"'!D$20:D$77)</f>
        <v>0</v>
      </c>
      <c r="E26" s="744">
        <f>SUMIF(' "Вуз зож"'!$B$20:$B$77,' "Вуз зож" (кафедры)'!$B26,' "Вуз зож"'!E$20:E$77)</f>
        <v>0</v>
      </c>
      <c r="F26" s="744">
        <f>SUMIF(' "Вуз зож"'!$B$20:$B$77,' "Вуз зож" (кафедры)'!$B26,' "Вуз зож"'!F$20:F$77)</f>
        <v>0</v>
      </c>
      <c r="G26" s="744">
        <f>SUMIF(' "Вуз зож"'!$B$20:$B$77,' "Вуз зож" (кафедры)'!$B26,' "Вуз зож"'!G$20:G$77)</f>
        <v>0</v>
      </c>
      <c r="H26" s="744">
        <f>SUMIF(' "Вуз зож"'!$B$20:$B$77,' "Вуз зож" (кафедры)'!$B26,' "Вуз зож"'!H$20:H$77)</f>
        <v>0</v>
      </c>
      <c r="I26" s="744">
        <f>SUMIF(' "Вуз зож"'!$B$20:$B$77,' "Вуз зож" (кафедры)'!$B26,' "Вуз зож"'!I$20:I$77)</f>
        <v>0</v>
      </c>
      <c r="J26" s="744">
        <f>SUMIF(' "Вуз зож"'!$B$20:$B$77,' "Вуз зож" (кафедры)'!$B26,' "Вуз зож"'!J$20:J$77)</f>
        <v>0</v>
      </c>
      <c r="K26" s="744">
        <f>SUMIF(' "Вуз зож"'!$B$20:$B$77,' "Вуз зож" (кафедры)'!$B26,' "Вуз зож"'!K$20:K$77)</f>
        <v>0</v>
      </c>
      <c r="L26" s="744">
        <f>SUMIF(' "Вуз зож"'!$B$20:$B$77,' "Вуз зож" (кафедры)'!$B26,' "Вуз зож"'!L$20:L$77)</f>
        <v>0</v>
      </c>
      <c r="M26" s="954">
        <f>SUMIF(' "Вуз зож"'!B26:B83,' "Вуз зож" (кафедры)'!B26,' "Вуз зож"'!M26:M83)/COUNTIF(' "Вуз зож"'!B26:B83,' "Вуз зож" (кафедры)'!B26)</f>
        <v>0</v>
      </c>
      <c r="N26" s="202">
        <f t="shared" si="2"/>
        <v>0</v>
      </c>
      <c r="S26" s="191">
        <f t="shared" si="1"/>
        <v>0</v>
      </c>
      <c r="T26" s="1490">
        <f>7</f>
        <v>7</v>
      </c>
      <c r="U26" s="1198">
        <f t="shared" si="3"/>
        <v>0</v>
      </c>
    </row>
    <row r="27" spans="1:39" ht="15" customHeight="1" x14ac:dyDescent="0.2">
      <c r="A27" s="139" t="str">
        <f>ИНСТИТУТ!A27</f>
        <v>Факультет иностранных студентов</v>
      </c>
      <c r="B27" s="186" t="str">
        <f>Кадры!B74</f>
        <v>ФИС</v>
      </c>
      <c r="C27" s="186">
        <f>IF(LEN(Кадры!$A27)&gt;2,Кадры!$E27,0)</f>
        <v>0</v>
      </c>
      <c r="D27" s="744">
        <f>SUMIF(' "Вуз зож"'!$B$20:$B$77,' "Вуз зож" (кафедры)'!$B27,' "Вуз зож"'!D$20:D$77)</f>
        <v>0</v>
      </c>
      <c r="E27" s="744">
        <f>SUMIF(' "Вуз зож"'!$B$20:$B$77,' "Вуз зож" (кафедры)'!$B27,' "Вуз зож"'!E$20:E$77)</f>
        <v>0</v>
      </c>
      <c r="F27" s="744">
        <f>SUMIF(' "Вуз зож"'!$B$20:$B$77,' "Вуз зож" (кафедры)'!$B27,' "Вуз зож"'!F$20:F$77)</f>
        <v>0</v>
      </c>
      <c r="G27" s="744">
        <f>SUMIF(' "Вуз зож"'!$B$20:$B$77,' "Вуз зож" (кафедры)'!$B27,' "Вуз зож"'!G$20:G$77)</f>
        <v>0</v>
      </c>
      <c r="H27" s="744">
        <f>SUMIF(' "Вуз зож"'!$B$20:$B$77,' "Вуз зож" (кафедры)'!$B27,' "Вуз зож"'!H$20:H$77)</f>
        <v>0</v>
      </c>
      <c r="I27" s="744">
        <f>SUMIF(' "Вуз зож"'!$B$20:$B$77,' "Вуз зож" (кафедры)'!$B27,' "Вуз зож"'!I$20:I$77)</f>
        <v>0</v>
      </c>
      <c r="J27" s="744">
        <f>SUMIF(' "Вуз зож"'!$B$20:$B$77,' "Вуз зож" (кафедры)'!$B27,' "Вуз зож"'!J$20:J$77)</f>
        <v>0</v>
      </c>
      <c r="K27" s="744">
        <f>SUMIF(' "Вуз зож"'!$B$20:$B$77,' "Вуз зож" (кафедры)'!$B27,' "Вуз зож"'!K$20:K$77)</f>
        <v>0</v>
      </c>
      <c r="L27" s="744">
        <f>SUMIF(' "Вуз зож"'!$B$20:$B$77,' "Вуз зож" (кафедры)'!$B27,' "Вуз зож"'!L$20:L$77)</f>
        <v>0</v>
      </c>
      <c r="M27" s="954">
        <f>SUMIF(' "Вуз зож"'!B27:B84,' "Вуз зож" (кафедры)'!B27,' "Вуз зож"'!M27:M84)/COUNTIF(' "Вуз зож"'!B27:B84,' "Вуз зож" (кафедры)'!B27)</f>
        <v>0</v>
      </c>
      <c r="N27" s="719">
        <f t="shared" si="2"/>
        <v>0</v>
      </c>
      <c r="S27" s="186">
        <f t="shared" si="1"/>
        <v>0</v>
      </c>
      <c r="T27" s="1197">
        <f>7</f>
        <v>7</v>
      </c>
      <c r="U27" s="1198">
        <f t="shared" si="3"/>
        <v>0</v>
      </c>
    </row>
    <row r="28" spans="1:39" x14ac:dyDescent="0.2">
      <c r="A28" s="146"/>
      <c r="B28" s="253"/>
      <c r="C28" s="253"/>
      <c r="D28" s="735"/>
      <c r="E28" s="735"/>
      <c r="F28" s="735"/>
      <c r="G28" s="735"/>
      <c r="H28" s="735"/>
      <c r="I28" s="735"/>
      <c r="J28" s="735"/>
      <c r="K28" s="735"/>
      <c r="L28" s="736"/>
      <c r="M28" s="737"/>
      <c r="N28" s="733"/>
      <c r="O28" s="253"/>
      <c r="P28" s="253"/>
      <c r="Q28" s="253"/>
      <c r="R28" s="253"/>
      <c r="S28" s="253"/>
      <c r="T28" s="740"/>
      <c r="U28" s="740"/>
    </row>
    <row r="29" spans="1:39" x14ac:dyDescent="0.2">
      <c r="A29" s="146"/>
      <c r="B29" s="253"/>
      <c r="C29" s="253"/>
      <c r="D29" s="735"/>
      <c r="E29" s="735"/>
      <c r="F29" s="735"/>
      <c r="G29" s="735"/>
      <c r="H29" s="735"/>
      <c r="I29" s="735"/>
      <c r="J29" s="735"/>
      <c r="K29" s="735"/>
      <c r="L29" s="736"/>
      <c r="M29" s="737"/>
      <c r="N29" s="733"/>
      <c r="O29" s="253"/>
      <c r="P29" s="253"/>
      <c r="Q29" s="253"/>
      <c r="R29" s="253"/>
      <c r="S29" s="253"/>
      <c r="T29" s="740"/>
      <c r="U29" s="740"/>
    </row>
    <row r="30" spans="1:39" x14ac:dyDescent="0.2">
      <c r="A30" s="146"/>
      <c r="B30" s="253"/>
      <c r="C30" s="253"/>
      <c r="D30" s="735"/>
      <c r="E30" s="735"/>
      <c r="F30" s="735"/>
      <c r="G30" s="735"/>
      <c r="H30" s="735"/>
      <c r="I30" s="735"/>
      <c r="J30" s="735"/>
      <c r="K30" s="735"/>
      <c r="L30" s="736"/>
      <c r="M30" s="737"/>
      <c r="N30" s="733"/>
      <c r="O30" s="253"/>
      <c r="P30" s="253"/>
      <c r="Q30" s="253"/>
      <c r="R30" s="253"/>
      <c r="S30" s="253"/>
      <c r="T30" s="740"/>
      <c r="U30" s="740"/>
    </row>
    <row r="31" spans="1:39" x14ac:dyDescent="0.2">
      <c r="A31" s="146"/>
      <c r="B31" s="253"/>
      <c r="C31" s="253"/>
      <c r="D31" s="735"/>
      <c r="E31" s="735"/>
      <c r="F31" s="735"/>
      <c r="G31" s="735"/>
      <c r="H31" s="735"/>
      <c r="I31" s="735"/>
      <c r="J31" s="735"/>
      <c r="K31" s="735"/>
      <c r="L31" s="736"/>
      <c r="M31" s="737"/>
      <c r="N31" s="733"/>
      <c r="O31" s="253"/>
      <c r="P31" s="253"/>
      <c r="Q31" s="253"/>
      <c r="R31" s="253"/>
      <c r="S31" s="253"/>
      <c r="T31" s="740"/>
      <c r="U31" s="740"/>
    </row>
    <row r="32" spans="1:39" x14ac:dyDescent="0.2">
      <c r="A32" s="146"/>
      <c r="B32" s="253"/>
      <c r="C32" s="253"/>
      <c r="D32" s="735"/>
      <c r="E32" s="735"/>
      <c r="F32" s="735"/>
      <c r="G32" s="735"/>
      <c r="H32" s="735"/>
      <c r="I32" s="735"/>
      <c r="J32" s="735"/>
      <c r="K32" s="735"/>
      <c r="L32" s="736"/>
      <c r="M32" s="737"/>
      <c r="N32" s="733"/>
      <c r="O32" s="253"/>
      <c r="P32" s="253"/>
      <c r="Q32" s="253"/>
      <c r="R32" s="253"/>
      <c r="S32" s="253"/>
      <c r="T32" s="740"/>
      <c r="U32" s="740"/>
    </row>
    <row r="33" spans="1:21" x14ac:dyDescent="0.2">
      <c r="A33" s="146"/>
      <c r="B33" s="253"/>
      <c r="C33" s="253"/>
      <c r="D33" s="735"/>
      <c r="E33" s="735"/>
      <c r="F33" s="735"/>
      <c r="G33" s="735"/>
      <c r="H33" s="735"/>
      <c r="I33" s="735"/>
      <c r="J33" s="735"/>
      <c r="K33" s="735"/>
      <c r="L33" s="736"/>
      <c r="M33" s="737"/>
      <c r="N33" s="733"/>
      <c r="O33" s="253"/>
      <c r="P33" s="253"/>
      <c r="Q33" s="253"/>
      <c r="R33" s="253"/>
      <c r="S33" s="253"/>
      <c r="T33" s="740"/>
      <c r="U33" s="740"/>
    </row>
    <row r="34" spans="1:21" x14ac:dyDescent="0.2">
      <c r="A34" s="146"/>
      <c r="B34" s="253"/>
      <c r="C34" s="253"/>
      <c r="D34" s="735"/>
      <c r="E34" s="735"/>
      <c r="F34" s="735"/>
      <c r="G34" s="735"/>
      <c r="H34" s="735"/>
      <c r="I34" s="735"/>
      <c r="J34" s="735"/>
      <c r="K34" s="735"/>
      <c r="L34" s="736"/>
      <c r="M34" s="737"/>
      <c r="N34" s="733"/>
      <c r="O34" s="253"/>
      <c r="P34" s="253"/>
      <c r="Q34" s="253"/>
      <c r="R34" s="253"/>
      <c r="S34" s="253"/>
      <c r="T34" s="740"/>
      <c r="U34" s="740"/>
    </row>
    <row r="35" spans="1:21" x14ac:dyDescent="0.2">
      <c r="A35" s="146"/>
      <c r="B35" s="253"/>
      <c r="C35" s="253"/>
      <c r="D35" s="735"/>
      <c r="E35" s="735"/>
      <c r="F35" s="735"/>
      <c r="G35" s="735"/>
      <c r="H35" s="735"/>
      <c r="I35" s="735"/>
      <c r="J35" s="735"/>
      <c r="K35" s="735"/>
      <c r="L35" s="736"/>
      <c r="M35" s="737"/>
      <c r="N35" s="733"/>
      <c r="O35" s="253"/>
      <c r="P35" s="253"/>
      <c r="Q35" s="253"/>
      <c r="R35" s="253"/>
      <c r="S35" s="253"/>
      <c r="T35" s="740"/>
      <c r="U35" s="740"/>
    </row>
    <row r="36" spans="1:21" x14ac:dyDescent="0.2">
      <c r="A36" s="146"/>
      <c r="B36" s="253"/>
      <c r="C36" s="253"/>
      <c r="D36" s="735"/>
      <c r="E36" s="735"/>
      <c r="F36" s="735"/>
      <c r="G36" s="735"/>
      <c r="H36" s="735"/>
      <c r="I36" s="735"/>
      <c r="J36" s="735"/>
      <c r="K36" s="735"/>
      <c r="L36" s="736"/>
      <c r="M36" s="737"/>
      <c r="N36" s="733"/>
      <c r="O36" s="253"/>
      <c r="P36" s="253"/>
      <c r="Q36" s="253"/>
      <c r="R36" s="253"/>
      <c r="S36" s="253"/>
      <c r="T36" s="740"/>
      <c r="U36" s="740"/>
    </row>
    <row r="37" spans="1:21" x14ac:dyDescent="0.2">
      <c r="A37" s="146"/>
      <c r="B37" s="253"/>
      <c r="C37" s="253"/>
      <c r="D37" s="735"/>
      <c r="E37" s="735"/>
      <c r="F37" s="735"/>
      <c r="G37" s="735"/>
      <c r="H37" s="735"/>
      <c r="I37" s="735"/>
      <c r="J37" s="735"/>
      <c r="K37" s="735"/>
      <c r="L37" s="736"/>
      <c r="M37" s="737"/>
      <c r="N37" s="733"/>
      <c r="O37" s="253"/>
      <c r="P37" s="253"/>
      <c r="Q37" s="253"/>
      <c r="R37" s="253"/>
      <c r="S37" s="253"/>
      <c r="T37" s="740"/>
      <c r="U37" s="740"/>
    </row>
    <row r="38" spans="1:21" x14ac:dyDescent="0.2">
      <c r="A38" s="146"/>
      <c r="B38" s="253"/>
      <c r="C38" s="253"/>
      <c r="D38" s="735"/>
      <c r="E38" s="735"/>
      <c r="F38" s="735"/>
      <c r="G38" s="735"/>
      <c r="H38" s="735"/>
      <c r="I38" s="735"/>
      <c r="J38" s="735"/>
      <c r="K38" s="735"/>
      <c r="L38" s="736"/>
      <c r="M38" s="737"/>
      <c r="N38" s="733"/>
      <c r="O38" s="253"/>
      <c r="P38" s="253"/>
      <c r="Q38" s="253"/>
      <c r="R38" s="253"/>
      <c r="S38" s="253"/>
      <c r="T38" s="740"/>
      <c r="U38" s="740"/>
    </row>
    <row r="39" spans="1:21" x14ac:dyDescent="0.2">
      <c r="A39" s="146"/>
      <c r="B39" s="253"/>
      <c r="C39" s="253"/>
      <c r="D39" s="735"/>
      <c r="E39" s="735"/>
      <c r="F39" s="735"/>
      <c r="G39" s="735"/>
      <c r="H39" s="735"/>
      <c r="I39" s="735"/>
      <c r="J39" s="735"/>
      <c r="K39" s="735"/>
      <c r="L39" s="736"/>
      <c r="M39" s="737"/>
      <c r="N39" s="733"/>
      <c r="O39" s="253"/>
      <c r="P39" s="253"/>
      <c r="Q39" s="253"/>
      <c r="R39" s="253"/>
      <c r="S39" s="253"/>
      <c r="T39" s="740"/>
      <c r="U39" s="740"/>
    </row>
    <row r="40" spans="1:21" x14ac:dyDescent="0.2">
      <c r="A40" s="146"/>
      <c r="B40" s="253"/>
      <c r="C40" s="253"/>
      <c r="D40" s="735"/>
      <c r="E40" s="735"/>
      <c r="F40" s="735"/>
      <c r="G40" s="735"/>
      <c r="H40" s="735"/>
      <c r="I40" s="735"/>
      <c r="J40" s="735"/>
      <c r="K40" s="735"/>
      <c r="L40" s="736"/>
      <c r="M40" s="737"/>
      <c r="N40" s="733"/>
      <c r="O40" s="253"/>
      <c r="P40" s="253"/>
      <c r="Q40" s="253"/>
      <c r="R40" s="253"/>
      <c r="S40" s="253"/>
      <c r="T40" s="740"/>
      <c r="U40" s="740"/>
    </row>
    <row r="41" spans="1:21" x14ac:dyDescent="0.2">
      <c r="A41" s="146"/>
      <c r="B41" s="253"/>
      <c r="C41" s="253"/>
      <c r="D41" s="735"/>
      <c r="E41" s="735"/>
      <c r="F41" s="735"/>
      <c r="G41" s="735"/>
      <c r="H41" s="735"/>
      <c r="I41" s="735"/>
      <c r="J41" s="735"/>
      <c r="K41" s="735"/>
      <c r="L41" s="736"/>
      <c r="M41" s="737"/>
      <c r="N41" s="733"/>
      <c r="O41" s="253"/>
      <c r="P41" s="253"/>
      <c r="Q41" s="253"/>
      <c r="R41" s="253"/>
      <c r="S41" s="253"/>
      <c r="T41" s="740"/>
      <c r="U41" s="740"/>
    </row>
    <row r="42" spans="1:21" x14ac:dyDescent="0.2">
      <c r="A42" s="146"/>
      <c r="B42" s="253"/>
      <c r="C42" s="253"/>
      <c r="D42" s="735"/>
      <c r="E42" s="735"/>
      <c r="F42" s="735"/>
      <c r="G42" s="735"/>
      <c r="H42" s="735"/>
      <c r="I42" s="735"/>
      <c r="J42" s="735"/>
      <c r="K42" s="735"/>
      <c r="L42" s="736"/>
      <c r="M42" s="737"/>
      <c r="N42" s="733"/>
      <c r="O42" s="253"/>
      <c r="P42" s="253"/>
      <c r="Q42" s="253"/>
      <c r="R42" s="253"/>
      <c r="S42" s="253"/>
      <c r="T42" s="740"/>
      <c r="U42" s="740"/>
    </row>
    <row r="43" spans="1:21" x14ac:dyDescent="0.2">
      <c r="A43" s="146"/>
      <c r="B43" s="253"/>
      <c r="C43" s="253"/>
      <c r="D43" s="735"/>
      <c r="E43" s="735"/>
      <c r="F43" s="735"/>
      <c r="G43" s="735"/>
      <c r="H43" s="735"/>
      <c r="I43" s="735"/>
      <c r="J43" s="735"/>
      <c r="K43" s="735"/>
      <c r="L43" s="736"/>
      <c r="M43" s="737"/>
      <c r="N43" s="733"/>
      <c r="O43" s="253"/>
      <c r="P43" s="253"/>
      <c r="Q43" s="253"/>
      <c r="R43" s="253"/>
      <c r="S43" s="253"/>
      <c r="T43" s="740"/>
      <c r="U43" s="740"/>
    </row>
    <row r="44" spans="1:21" x14ac:dyDescent="0.2">
      <c r="A44" s="146"/>
      <c r="B44" s="253"/>
      <c r="C44" s="253"/>
      <c r="D44" s="735"/>
      <c r="E44" s="735"/>
      <c r="F44" s="735"/>
      <c r="G44" s="735"/>
      <c r="H44" s="735"/>
      <c r="I44" s="735"/>
      <c r="J44" s="735"/>
      <c r="K44" s="735"/>
      <c r="L44" s="736"/>
      <c r="M44" s="737"/>
      <c r="N44" s="733"/>
      <c r="O44" s="253"/>
      <c r="P44" s="253"/>
      <c r="Q44" s="253"/>
      <c r="R44" s="253"/>
      <c r="S44" s="253"/>
      <c r="T44" s="740"/>
      <c r="U44" s="740"/>
    </row>
    <row r="45" spans="1:21" x14ac:dyDescent="0.2">
      <c r="A45" s="146"/>
      <c r="B45" s="253"/>
      <c r="C45" s="253"/>
      <c r="D45" s="735"/>
      <c r="E45" s="735"/>
      <c r="F45" s="735"/>
      <c r="G45" s="735"/>
      <c r="H45" s="735"/>
      <c r="I45" s="735"/>
      <c r="J45" s="735"/>
      <c r="K45" s="735"/>
      <c r="L45" s="736"/>
      <c r="M45" s="737"/>
      <c r="N45" s="733"/>
      <c r="O45" s="253"/>
      <c r="P45" s="253"/>
      <c r="Q45" s="253"/>
      <c r="R45" s="253"/>
      <c r="S45" s="253"/>
      <c r="T45" s="740"/>
      <c r="U45" s="740"/>
    </row>
    <row r="46" spans="1:21" x14ac:dyDescent="0.2">
      <c r="A46" s="146"/>
      <c r="B46" s="253"/>
      <c r="C46" s="253"/>
      <c r="D46" s="735"/>
      <c r="E46" s="735"/>
      <c r="F46" s="735"/>
      <c r="G46" s="735"/>
      <c r="H46" s="735"/>
      <c r="I46" s="735"/>
      <c r="J46" s="735"/>
      <c r="K46" s="735"/>
      <c r="L46" s="736"/>
      <c r="M46" s="737"/>
      <c r="N46" s="733"/>
      <c r="O46" s="253"/>
      <c r="P46" s="253"/>
      <c r="Q46" s="253"/>
      <c r="R46" s="253"/>
      <c r="S46" s="253"/>
      <c r="T46" s="740"/>
      <c r="U46" s="740"/>
    </row>
    <row r="47" spans="1:21" x14ac:dyDescent="0.2">
      <c r="A47" s="146"/>
      <c r="B47" s="253"/>
      <c r="C47" s="253"/>
      <c r="D47" s="735"/>
      <c r="E47" s="735"/>
      <c r="F47" s="735"/>
      <c r="G47" s="735"/>
      <c r="H47" s="735"/>
      <c r="I47" s="735"/>
      <c r="J47" s="735"/>
      <c r="K47" s="735"/>
      <c r="L47" s="736"/>
      <c r="M47" s="737"/>
      <c r="N47" s="733"/>
      <c r="O47" s="253"/>
      <c r="P47" s="253"/>
      <c r="Q47" s="253"/>
      <c r="R47" s="253"/>
      <c r="S47" s="253"/>
      <c r="T47" s="740"/>
      <c r="U47" s="740"/>
    </row>
    <row r="48" spans="1:21" x14ac:dyDescent="0.2">
      <c r="A48" s="146"/>
      <c r="B48" s="253"/>
      <c r="C48" s="253"/>
      <c r="D48" s="735"/>
      <c r="E48" s="735"/>
      <c r="F48" s="735"/>
      <c r="G48" s="735"/>
      <c r="H48" s="735"/>
      <c r="I48" s="735"/>
      <c r="J48" s="735"/>
      <c r="K48" s="735"/>
      <c r="L48" s="736"/>
      <c r="M48" s="737"/>
      <c r="N48" s="733"/>
      <c r="O48" s="253"/>
      <c r="P48" s="253"/>
      <c r="Q48" s="253"/>
      <c r="R48" s="253"/>
      <c r="S48" s="253"/>
      <c r="T48" s="740"/>
      <c r="U48" s="740"/>
    </row>
    <row r="49" spans="1:21" x14ac:dyDescent="0.2">
      <c r="A49" s="146"/>
      <c r="B49" s="253"/>
      <c r="C49" s="253"/>
      <c r="D49" s="735"/>
      <c r="E49" s="735"/>
      <c r="F49" s="735"/>
      <c r="G49" s="735"/>
      <c r="H49" s="735"/>
      <c r="I49" s="735"/>
      <c r="J49" s="735"/>
      <c r="K49" s="735"/>
      <c r="L49" s="736"/>
      <c r="M49" s="737"/>
      <c r="N49" s="733"/>
      <c r="O49" s="253"/>
      <c r="P49" s="253"/>
      <c r="Q49" s="253"/>
      <c r="R49" s="253"/>
      <c r="S49" s="253"/>
      <c r="T49" s="740"/>
      <c r="U49" s="740"/>
    </row>
    <row r="50" spans="1:21" x14ac:dyDescent="0.2">
      <c r="A50" s="146"/>
      <c r="B50" s="253"/>
      <c r="C50" s="253"/>
      <c r="D50" s="735"/>
      <c r="E50" s="735"/>
      <c r="F50" s="735"/>
      <c r="G50" s="735"/>
      <c r="H50" s="735"/>
      <c r="I50" s="735"/>
      <c r="J50" s="735"/>
      <c r="K50" s="735"/>
      <c r="L50" s="736"/>
      <c r="M50" s="737"/>
      <c r="N50" s="733"/>
      <c r="O50" s="253"/>
      <c r="P50" s="253"/>
      <c r="Q50" s="253"/>
      <c r="R50" s="253"/>
      <c r="S50" s="253"/>
      <c r="T50" s="740"/>
      <c r="U50" s="740"/>
    </row>
    <row r="51" spans="1:21" x14ac:dyDescent="0.2">
      <c r="A51" s="146"/>
      <c r="B51" s="253"/>
      <c r="C51" s="253"/>
      <c r="D51" s="735"/>
      <c r="E51" s="735"/>
      <c r="F51" s="735"/>
      <c r="G51" s="735"/>
      <c r="H51" s="735"/>
      <c r="I51" s="735"/>
      <c r="J51" s="735"/>
      <c r="K51" s="735"/>
      <c r="L51" s="736"/>
      <c r="M51" s="737"/>
      <c r="N51" s="733"/>
      <c r="O51" s="253"/>
      <c r="P51" s="253"/>
      <c r="Q51" s="253"/>
      <c r="R51" s="253"/>
      <c r="S51" s="253"/>
      <c r="T51" s="740"/>
      <c r="U51" s="740"/>
    </row>
    <row r="52" spans="1:21" x14ac:dyDescent="0.2">
      <c r="A52" s="146"/>
      <c r="B52" s="253"/>
      <c r="C52" s="253"/>
      <c r="D52" s="735"/>
      <c r="E52" s="735"/>
      <c r="F52" s="735"/>
      <c r="G52" s="735"/>
      <c r="H52" s="735"/>
      <c r="I52" s="735"/>
      <c r="J52" s="735"/>
      <c r="K52" s="735"/>
      <c r="L52" s="736"/>
      <c r="M52" s="737"/>
      <c r="N52" s="733"/>
      <c r="O52" s="253"/>
      <c r="P52" s="253"/>
      <c r="Q52" s="253"/>
      <c r="R52" s="253"/>
      <c r="S52" s="253"/>
      <c r="T52" s="740"/>
      <c r="U52" s="740"/>
    </row>
    <row r="53" spans="1:21" x14ac:dyDescent="0.2">
      <c r="A53" s="146"/>
      <c r="B53" s="253"/>
      <c r="C53" s="253"/>
      <c r="D53" s="735"/>
      <c r="E53" s="735"/>
      <c r="F53" s="735"/>
      <c r="G53" s="735"/>
      <c r="H53" s="735"/>
      <c r="I53" s="735"/>
      <c r="J53" s="735"/>
      <c r="K53" s="735"/>
      <c r="L53" s="736"/>
      <c r="M53" s="737"/>
      <c r="N53" s="733"/>
      <c r="O53" s="253"/>
      <c r="P53" s="253"/>
      <c r="Q53" s="253"/>
      <c r="R53" s="253"/>
      <c r="S53" s="253"/>
      <c r="T53" s="740"/>
      <c r="U53" s="740"/>
    </row>
    <row r="54" spans="1:21" x14ac:dyDescent="0.2">
      <c r="A54" s="146"/>
      <c r="B54" s="253"/>
      <c r="C54" s="253"/>
      <c r="D54" s="735"/>
      <c r="E54" s="735"/>
      <c r="F54" s="735"/>
      <c r="G54" s="735"/>
      <c r="H54" s="735"/>
      <c r="I54" s="735"/>
      <c r="J54" s="735"/>
      <c r="K54" s="735"/>
      <c r="L54" s="736"/>
      <c r="M54" s="737"/>
      <c r="N54" s="733"/>
      <c r="O54" s="253"/>
      <c r="P54" s="253"/>
      <c r="Q54" s="253"/>
      <c r="R54" s="253"/>
      <c r="S54" s="253"/>
      <c r="T54" s="740"/>
      <c r="U54" s="740"/>
    </row>
    <row r="55" spans="1:21" x14ac:dyDescent="0.2">
      <c r="A55" s="146"/>
      <c r="B55" s="253"/>
      <c r="C55" s="253"/>
      <c r="D55" s="735"/>
      <c r="E55" s="735"/>
      <c r="F55" s="735"/>
      <c r="G55" s="735"/>
      <c r="H55" s="735"/>
      <c r="I55" s="735"/>
      <c r="J55" s="735"/>
      <c r="K55" s="735"/>
      <c r="L55" s="736"/>
      <c r="M55" s="737"/>
      <c r="N55" s="733"/>
      <c r="O55" s="253"/>
      <c r="P55" s="253"/>
      <c r="Q55" s="253"/>
      <c r="R55" s="253"/>
      <c r="S55" s="253"/>
      <c r="T55" s="740"/>
      <c r="U55" s="740"/>
    </row>
    <row r="56" spans="1:21" x14ac:dyDescent="0.2">
      <c r="A56" s="146"/>
      <c r="B56" s="253"/>
      <c r="C56" s="253"/>
      <c r="D56" s="735"/>
      <c r="E56" s="735"/>
      <c r="F56" s="735"/>
      <c r="G56" s="735"/>
      <c r="H56" s="735"/>
      <c r="I56" s="735"/>
      <c r="J56" s="735"/>
      <c r="K56" s="735"/>
      <c r="L56" s="736"/>
      <c r="M56" s="737"/>
      <c r="N56" s="733"/>
      <c r="O56" s="253"/>
      <c r="P56" s="253"/>
      <c r="Q56" s="253"/>
      <c r="R56" s="253"/>
      <c r="S56" s="253"/>
      <c r="T56" s="740"/>
      <c r="U56" s="740"/>
    </row>
    <row r="57" spans="1:21" x14ac:dyDescent="0.2">
      <c r="A57" s="146"/>
      <c r="B57" s="253"/>
      <c r="C57" s="253"/>
      <c r="D57" s="735"/>
      <c r="E57" s="735"/>
      <c r="F57" s="735"/>
      <c r="G57" s="735"/>
      <c r="H57" s="735"/>
      <c r="I57" s="735"/>
      <c r="J57" s="735"/>
      <c r="K57" s="735"/>
      <c r="L57" s="736"/>
      <c r="M57" s="737"/>
      <c r="N57" s="733"/>
      <c r="O57" s="253"/>
      <c r="P57" s="253"/>
      <c r="Q57" s="253"/>
      <c r="R57" s="253"/>
      <c r="S57" s="253"/>
      <c r="T57" s="740"/>
      <c r="U57" s="740"/>
    </row>
    <row r="58" spans="1:21" x14ac:dyDescent="0.2">
      <c r="A58" s="146"/>
      <c r="B58" s="253"/>
      <c r="C58" s="253"/>
      <c r="D58" s="735"/>
      <c r="E58" s="735"/>
      <c r="F58" s="735"/>
      <c r="G58" s="735"/>
      <c r="H58" s="735"/>
      <c r="I58" s="735"/>
      <c r="J58" s="735"/>
      <c r="K58" s="735"/>
      <c r="L58" s="736"/>
      <c r="M58" s="737"/>
      <c r="N58" s="733"/>
      <c r="O58" s="253"/>
      <c r="P58" s="253"/>
      <c r="Q58" s="253"/>
      <c r="R58" s="253"/>
      <c r="S58" s="253"/>
      <c r="T58" s="740"/>
      <c r="U58" s="740"/>
    </row>
    <row r="59" spans="1:21" x14ac:dyDescent="0.2">
      <c r="A59" s="146"/>
      <c r="B59" s="253"/>
      <c r="C59" s="253"/>
      <c r="D59" s="735"/>
      <c r="E59" s="735"/>
      <c r="F59" s="735"/>
      <c r="G59" s="735"/>
      <c r="H59" s="735"/>
      <c r="I59" s="735"/>
      <c r="J59" s="735"/>
      <c r="K59" s="735"/>
      <c r="L59" s="736"/>
      <c r="M59" s="737"/>
      <c r="N59" s="733"/>
      <c r="O59" s="253"/>
      <c r="P59" s="253"/>
      <c r="Q59" s="253"/>
      <c r="R59" s="253"/>
      <c r="S59" s="253"/>
      <c r="T59" s="740"/>
      <c r="U59" s="740"/>
    </row>
    <row r="60" spans="1:21" ht="18" x14ac:dyDescent="0.2">
      <c r="A60" s="738"/>
      <c r="B60" s="253"/>
      <c r="C60" s="253"/>
      <c r="D60" s="735"/>
      <c r="E60" s="735"/>
      <c r="F60" s="735"/>
      <c r="G60" s="735"/>
      <c r="H60" s="735"/>
      <c r="I60" s="735"/>
      <c r="J60" s="735"/>
      <c r="K60" s="735"/>
      <c r="L60" s="736"/>
      <c r="M60" s="737"/>
      <c r="N60" s="733"/>
      <c r="O60" s="253"/>
      <c r="P60" s="253"/>
      <c r="Q60" s="253"/>
      <c r="R60" s="253"/>
      <c r="S60" s="253"/>
      <c r="T60" s="740"/>
      <c r="U60" s="740"/>
    </row>
    <row r="61" spans="1:21" ht="18" x14ac:dyDescent="0.2">
      <c r="A61" s="738"/>
      <c r="B61" s="253"/>
      <c r="C61" s="253"/>
      <c r="D61" s="735"/>
      <c r="E61" s="735"/>
      <c r="F61" s="735"/>
      <c r="G61" s="735"/>
      <c r="H61" s="735"/>
      <c r="I61" s="735"/>
      <c r="J61" s="735"/>
      <c r="K61" s="735"/>
      <c r="L61" s="736"/>
      <c r="M61" s="737"/>
      <c r="N61" s="733"/>
      <c r="O61" s="253"/>
      <c r="P61" s="253"/>
      <c r="Q61" s="253"/>
      <c r="R61" s="253"/>
      <c r="S61" s="253"/>
      <c r="T61" s="740"/>
      <c r="U61" s="740"/>
    </row>
    <row r="62" spans="1:21" ht="18" x14ac:dyDescent="0.2">
      <c r="A62" s="738"/>
      <c r="B62" s="253"/>
      <c r="C62" s="253"/>
      <c r="D62" s="735"/>
      <c r="E62" s="735"/>
      <c r="F62" s="735"/>
      <c r="G62" s="735"/>
      <c r="H62" s="735"/>
      <c r="I62" s="735"/>
      <c r="J62" s="735"/>
      <c r="K62" s="735"/>
      <c r="L62" s="736"/>
      <c r="M62" s="737"/>
      <c r="N62" s="733"/>
      <c r="O62" s="253"/>
      <c r="P62" s="253"/>
      <c r="Q62" s="253"/>
      <c r="R62" s="253"/>
      <c r="S62" s="253"/>
      <c r="T62" s="740"/>
      <c r="U62" s="740"/>
    </row>
    <row r="63" spans="1:21" ht="18" x14ac:dyDescent="0.2">
      <c r="A63" s="738"/>
      <c r="B63" s="253"/>
      <c r="C63" s="253"/>
      <c r="D63" s="735"/>
      <c r="E63" s="735"/>
      <c r="F63" s="735"/>
      <c r="G63" s="735"/>
      <c r="H63" s="735"/>
      <c r="I63" s="735"/>
      <c r="J63" s="735"/>
      <c r="K63" s="735"/>
      <c r="L63" s="736"/>
      <c r="M63" s="737"/>
      <c r="N63" s="733"/>
      <c r="O63" s="253"/>
      <c r="P63" s="253"/>
      <c r="Q63" s="253"/>
      <c r="R63" s="253"/>
      <c r="S63" s="253"/>
      <c r="T63" s="740"/>
      <c r="U63" s="740"/>
    </row>
    <row r="64" spans="1:21" ht="18" x14ac:dyDescent="0.2">
      <c r="A64" s="738"/>
      <c r="B64" s="253"/>
      <c r="C64" s="253"/>
      <c r="D64" s="735"/>
      <c r="E64" s="735"/>
      <c r="F64" s="735"/>
      <c r="G64" s="735"/>
      <c r="H64" s="735"/>
      <c r="I64" s="735"/>
      <c r="J64" s="735"/>
      <c r="K64" s="735"/>
      <c r="L64" s="736"/>
      <c r="M64" s="737"/>
      <c r="N64" s="733"/>
      <c r="O64" s="253"/>
      <c r="P64" s="253"/>
      <c r="Q64" s="253"/>
      <c r="R64" s="253"/>
      <c r="S64" s="253"/>
      <c r="T64" s="740"/>
      <c r="U64" s="740"/>
    </row>
    <row r="65" spans="1:37" ht="18" x14ac:dyDescent="0.2">
      <c r="A65" s="738"/>
      <c r="B65" s="253"/>
      <c r="C65" s="253"/>
      <c r="D65" s="735"/>
      <c r="E65" s="735"/>
      <c r="F65" s="735"/>
      <c r="G65" s="735"/>
      <c r="H65" s="735"/>
      <c r="I65" s="735"/>
      <c r="J65" s="735"/>
      <c r="K65" s="735"/>
      <c r="L65" s="736"/>
      <c r="M65" s="737"/>
      <c r="N65" s="733"/>
      <c r="O65" s="253"/>
      <c r="P65" s="253"/>
      <c r="Q65" s="253"/>
      <c r="R65" s="253"/>
      <c r="S65" s="253"/>
      <c r="T65" s="740"/>
      <c r="U65" s="740"/>
    </row>
    <row r="66" spans="1:37" ht="18" x14ac:dyDescent="0.2">
      <c r="A66" s="738"/>
      <c r="B66" s="253"/>
      <c r="C66" s="253"/>
      <c r="D66" s="735"/>
      <c r="E66" s="735"/>
      <c r="F66" s="735"/>
      <c r="G66" s="735"/>
      <c r="H66" s="735"/>
      <c r="I66" s="735"/>
      <c r="J66" s="735"/>
      <c r="K66" s="735"/>
      <c r="L66" s="736"/>
      <c r="M66" s="737"/>
      <c r="N66" s="733"/>
      <c r="O66" s="253"/>
      <c r="P66" s="253"/>
      <c r="Q66" s="253"/>
      <c r="R66" s="253"/>
      <c r="S66" s="253"/>
      <c r="T66" s="740"/>
      <c r="U66" s="740"/>
    </row>
    <row r="67" spans="1:37" ht="18" x14ac:dyDescent="0.2">
      <c r="A67" s="738"/>
      <c r="B67" s="253"/>
      <c r="C67" s="253"/>
      <c r="D67" s="735"/>
      <c r="E67" s="735"/>
      <c r="F67" s="735"/>
      <c r="G67" s="735"/>
      <c r="H67" s="735"/>
      <c r="I67" s="735"/>
      <c r="J67" s="735"/>
      <c r="K67" s="735"/>
      <c r="L67" s="736"/>
      <c r="M67" s="737"/>
      <c r="N67" s="733"/>
      <c r="O67" s="253"/>
      <c r="P67" s="253"/>
      <c r="Q67" s="253"/>
      <c r="R67" s="253"/>
      <c r="S67" s="253"/>
      <c r="T67" s="740"/>
      <c r="U67" s="740"/>
    </row>
    <row r="68" spans="1:37" ht="18" x14ac:dyDescent="0.2">
      <c r="A68" s="738"/>
      <c r="B68" s="253"/>
      <c r="C68" s="253"/>
      <c r="D68" s="735"/>
      <c r="E68" s="735"/>
      <c r="F68" s="735"/>
      <c r="G68" s="735"/>
      <c r="H68" s="735"/>
      <c r="I68" s="735"/>
      <c r="J68" s="735"/>
      <c r="K68" s="735"/>
      <c r="L68" s="736"/>
      <c r="M68" s="737"/>
      <c r="N68" s="733"/>
      <c r="O68" s="253"/>
      <c r="P68" s="253"/>
      <c r="Q68" s="253"/>
      <c r="R68" s="253"/>
      <c r="S68" s="253"/>
      <c r="T68" s="740"/>
      <c r="U68" s="740"/>
    </row>
    <row r="69" spans="1:37" ht="18" x14ac:dyDescent="0.2">
      <c r="A69" s="738"/>
      <c r="B69" s="253"/>
      <c r="C69" s="253"/>
      <c r="D69" s="735"/>
      <c r="E69" s="735"/>
      <c r="F69" s="735"/>
      <c r="G69" s="735"/>
      <c r="H69" s="735"/>
      <c r="I69" s="735"/>
      <c r="J69" s="735"/>
      <c r="K69" s="735"/>
      <c r="L69" s="736"/>
      <c r="M69" s="737"/>
      <c r="N69" s="733"/>
      <c r="O69" s="253"/>
      <c r="P69" s="253"/>
      <c r="Q69" s="253"/>
      <c r="R69" s="253"/>
      <c r="S69" s="253"/>
      <c r="T69" s="740"/>
      <c r="U69" s="740"/>
    </row>
    <row r="70" spans="1:37" ht="18" x14ac:dyDescent="0.2">
      <c r="A70" s="738"/>
      <c r="B70" s="253"/>
      <c r="C70" s="253"/>
      <c r="D70" s="735"/>
      <c r="E70" s="735"/>
      <c r="F70" s="735"/>
      <c r="G70" s="735"/>
      <c r="H70" s="735"/>
      <c r="I70" s="735"/>
      <c r="J70" s="735"/>
      <c r="K70" s="735"/>
      <c r="L70" s="736"/>
      <c r="M70" s="737"/>
      <c r="N70" s="733"/>
      <c r="O70" s="253"/>
      <c r="P70" s="253"/>
      <c r="Q70" s="253"/>
      <c r="R70" s="253"/>
      <c r="S70" s="253"/>
      <c r="T70" s="740"/>
      <c r="U70" s="740"/>
    </row>
    <row r="71" spans="1:37" ht="18" x14ac:dyDescent="0.2">
      <c r="A71" s="738"/>
      <c r="B71" s="253"/>
      <c r="C71" s="253"/>
      <c r="D71" s="735"/>
      <c r="E71" s="735"/>
      <c r="F71" s="735"/>
      <c r="G71" s="735"/>
      <c r="H71" s="735"/>
      <c r="I71" s="735"/>
      <c r="J71" s="735"/>
      <c r="K71" s="735"/>
      <c r="L71" s="736"/>
      <c r="M71" s="737"/>
      <c r="N71" s="733"/>
      <c r="O71" s="253"/>
      <c r="P71" s="253"/>
      <c r="Q71" s="253"/>
      <c r="R71" s="253"/>
      <c r="S71" s="253"/>
      <c r="T71" s="740"/>
      <c r="U71" s="740"/>
    </row>
    <row r="72" spans="1:37" ht="18" x14ac:dyDescent="0.2">
      <c r="A72" s="738"/>
      <c r="B72" s="253"/>
      <c r="C72" s="253"/>
      <c r="D72" s="735"/>
      <c r="E72" s="735"/>
      <c r="F72" s="735"/>
      <c r="G72" s="735"/>
      <c r="H72" s="735"/>
      <c r="I72" s="735"/>
      <c r="J72" s="735"/>
      <c r="K72" s="735"/>
      <c r="L72" s="736"/>
      <c r="M72" s="737"/>
      <c r="N72" s="733"/>
      <c r="O72" s="253"/>
      <c r="P72" s="253"/>
      <c r="Q72" s="253"/>
      <c r="R72" s="253"/>
      <c r="S72" s="253"/>
      <c r="T72" s="740"/>
      <c r="U72" s="740"/>
    </row>
    <row r="73" spans="1:37" ht="18" x14ac:dyDescent="0.2">
      <c r="A73" s="738"/>
      <c r="B73" s="253"/>
      <c r="C73" s="253"/>
      <c r="D73" s="735"/>
      <c r="E73" s="735"/>
      <c r="F73" s="735"/>
      <c r="G73" s="735"/>
      <c r="H73" s="735"/>
      <c r="I73" s="735"/>
      <c r="J73" s="735"/>
      <c r="K73" s="735"/>
      <c r="L73" s="736"/>
      <c r="M73" s="737"/>
      <c r="N73" s="733"/>
      <c r="O73" s="253"/>
      <c r="P73" s="253"/>
      <c r="Q73" s="253"/>
      <c r="R73" s="253"/>
      <c r="S73" s="253"/>
      <c r="T73" s="740"/>
      <c r="U73" s="740"/>
    </row>
    <row r="74" spans="1:37" s="258" customFormat="1" ht="7.5" customHeight="1" x14ac:dyDescent="0.2">
      <c r="A74" s="738"/>
      <c r="B74" s="253"/>
      <c r="C74" s="253"/>
      <c r="D74" s="739"/>
      <c r="E74" s="739"/>
      <c r="F74" s="739"/>
      <c r="G74" s="739"/>
      <c r="H74" s="739"/>
      <c r="I74" s="739"/>
      <c r="J74" s="739"/>
      <c r="K74" s="739"/>
      <c r="L74" s="739"/>
      <c r="M74" s="732"/>
      <c r="N74" s="253"/>
      <c r="O74" s="253"/>
      <c r="P74" s="253"/>
      <c r="Q74" s="253"/>
      <c r="R74" s="253"/>
      <c r="S74" s="253"/>
      <c r="T74" s="253"/>
      <c r="U74" s="253"/>
    </row>
    <row r="75" spans="1:37" ht="18" x14ac:dyDescent="0.2">
      <c r="A75" s="110"/>
      <c r="D75" s="372"/>
      <c r="E75" s="372"/>
      <c r="F75" s="372"/>
      <c r="G75" s="372"/>
      <c r="H75" s="372"/>
      <c r="I75" s="372"/>
      <c r="J75" s="372"/>
      <c r="K75" s="372"/>
      <c r="L75" s="372"/>
      <c r="M75" s="372"/>
      <c r="N75" s="372"/>
      <c r="O75" s="372"/>
      <c r="P75" s="372"/>
      <c r="Q75" s="372"/>
      <c r="R75" s="1201"/>
      <c r="S75" s="372"/>
      <c r="T75" s="372"/>
      <c r="U75" s="372"/>
      <c r="V75" s="372"/>
      <c r="W75" s="372"/>
      <c r="X75" s="372"/>
      <c r="Y75" s="372"/>
      <c r="Z75" s="372"/>
      <c r="AA75" s="372"/>
      <c r="AB75" s="372"/>
      <c r="AC75" s="372"/>
      <c r="AD75" s="372"/>
      <c r="AE75" s="372"/>
      <c r="AF75" s="372"/>
      <c r="AG75" s="372"/>
      <c r="AH75" s="372"/>
      <c r="AI75" s="372"/>
      <c r="AJ75" s="372"/>
      <c r="AK75" s="372"/>
    </row>
    <row r="76" spans="1:37" ht="18" x14ac:dyDescent="0.2">
      <c r="A76" s="972"/>
      <c r="B76" s="372"/>
      <c r="C76" s="372"/>
      <c r="D76" s="372"/>
      <c r="E76" s="372"/>
      <c r="F76" s="372"/>
      <c r="G76" s="372"/>
      <c r="H76" s="372"/>
      <c r="I76" s="372"/>
      <c r="J76" s="372"/>
      <c r="K76" s="372"/>
      <c r="L76" s="372"/>
      <c r="M76" s="372"/>
      <c r="N76" s="372"/>
      <c r="O76" s="372"/>
      <c r="P76" s="372"/>
      <c r="Q76" s="372"/>
      <c r="R76" s="1201"/>
      <c r="S76" s="372"/>
      <c r="T76" s="372"/>
      <c r="U76" s="372"/>
      <c r="V76" s="372"/>
      <c r="W76" s="372"/>
      <c r="X76" s="372"/>
      <c r="Y76" s="372"/>
      <c r="Z76" s="372"/>
      <c r="AA76" s="372"/>
      <c r="AB76" s="372"/>
      <c r="AC76" s="372"/>
      <c r="AD76" s="372"/>
      <c r="AE76" s="372"/>
      <c r="AF76" s="372"/>
      <c r="AG76" s="372"/>
      <c r="AH76" s="372"/>
      <c r="AI76" s="372"/>
      <c r="AJ76" s="372"/>
      <c r="AK76" s="372"/>
    </row>
    <row r="77" spans="1:37" ht="18" x14ac:dyDescent="0.2">
      <c r="A77" s="972"/>
      <c r="B77" s="372"/>
      <c r="C77" s="372"/>
      <c r="D77" s="372"/>
      <c r="E77" s="372"/>
      <c r="F77" s="372"/>
      <c r="G77" s="372"/>
      <c r="H77" s="372"/>
      <c r="I77" s="372"/>
      <c r="J77" s="372"/>
      <c r="K77" s="372"/>
      <c r="L77" s="372"/>
      <c r="M77" s="372"/>
      <c r="N77" s="372"/>
      <c r="O77" s="372"/>
      <c r="P77" s="372"/>
      <c r="Q77" s="372"/>
      <c r="R77" s="1201"/>
      <c r="S77" s="372"/>
      <c r="T77" s="372"/>
      <c r="U77" s="372"/>
      <c r="V77" s="372"/>
      <c r="W77" s="372"/>
      <c r="X77" s="372"/>
      <c r="Y77" s="372"/>
      <c r="Z77" s="372"/>
      <c r="AA77" s="372"/>
      <c r="AB77" s="372"/>
      <c r="AC77" s="372"/>
      <c r="AD77" s="372"/>
      <c r="AE77" s="372"/>
      <c r="AF77" s="372"/>
      <c r="AG77" s="372"/>
      <c r="AH77" s="372"/>
      <c r="AI77" s="372"/>
      <c r="AJ77" s="372"/>
      <c r="AK77" s="372"/>
    </row>
    <row r="78" spans="1:37" ht="18" x14ac:dyDescent="0.2">
      <c r="A78" s="110"/>
    </row>
    <row r="79" spans="1:37" ht="18" x14ac:dyDescent="0.2">
      <c r="A79" s="110"/>
    </row>
    <row r="80" spans="1:37" ht="18" x14ac:dyDescent="0.2">
      <c r="A80" s="110"/>
    </row>
    <row r="81" spans="1:1" ht="18" x14ac:dyDescent="0.2">
      <c r="A81" s="110"/>
    </row>
    <row r="82" spans="1:1" ht="18" x14ac:dyDescent="0.2">
      <c r="A82" s="110"/>
    </row>
    <row r="83" spans="1:1" ht="18" x14ac:dyDescent="0.2">
      <c r="A83" s="110"/>
    </row>
    <row r="84" spans="1:1" ht="18" x14ac:dyDescent="0.2">
      <c r="A84" s="110"/>
    </row>
    <row r="85" spans="1:1" ht="18" x14ac:dyDescent="0.2">
      <c r="A85" s="110"/>
    </row>
    <row r="86" spans="1:1" ht="18" x14ac:dyDescent="0.2">
      <c r="A86" s="110"/>
    </row>
    <row r="87" spans="1:1" ht="18" x14ac:dyDescent="0.2">
      <c r="A87" s="110"/>
    </row>
    <row r="88" spans="1:1" ht="18" x14ac:dyDescent="0.2">
      <c r="A88" s="110"/>
    </row>
    <row r="89" spans="1:1" ht="18" x14ac:dyDescent="0.2">
      <c r="A89" s="110"/>
    </row>
    <row r="90" spans="1:1" ht="18" x14ac:dyDescent="0.2">
      <c r="A90" s="110"/>
    </row>
    <row r="91" spans="1:1" ht="18" x14ac:dyDescent="0.2">
      <c r="A91" s="110"/>
    </row>
    <row r="92" spans="1:1" ht="18" x14ac:dyDescent="0.2">
      <c r="A92" s="110"/>
    </row>
    <row r="93" spans="1:1" ht="18" x14ac:dyDescent="0.2">
      <c r="A93" s="110"/>
    </row>
    <row r="94" spans="1:1" ht="18" x14ac:dyDescent="0.2">
      <c r="A94" s="110"/>
    </row>
    <row r="101" spans="1:1" ht="15" thickBot="1" x14ac:dyDescent="0.25">
      <c r="A101" s="111"/>
    </row>
    <row r="106" spans="1:1" x14ac:dyDescent="0.2">
      <c r="A106" s="114"/>
    </row>
    <row r="108" spans="1:1" x14ac:dyDescent="0.2">
      <c r="A108" s="116" t="s">
        <v>14</v>
      </c>
    </row>
    <row r="109" spans="1:1" x14ac:dyDescent="0.2">
      <c r="A109" s="121" t="s">
        <v>39</v>
      </c>
    </row>
    <row r="110" spans="1:1" x14ac:dyDescent="0.2">
      <c r="A110" s="58" t="s">
        <v>13</v>
      </c>
    </row>
    <row r="111" spans="1:1" x14ac:dyDescent="0.2">
      <c r="A111" s="58" t="s">
        <v>14</v>
      </c>
    </row>
    <row r="112" spans="1:1" x14ac:dyDescent="0.2">
      <c r="A112" s="126" t="s">
        <v>39</v>
      </c>
    </row>
    <row r="113" spans="1:1" x14ac:dyDescent="0.2">
      <c r="A113" s="67" t="s">
        <v>8</v>
      </c>
    </row>
    <row r="115" spans="1:1" x14ac:dyDescent="0.2">
      <c r="A115" s="58" t="s">
        <v>13</v>
      </c>
    </row>
    <row r="116" spans="1:1" x14ac:dyDescent="0.2">
      <c r="A116" s="130" t="s">
        <v>14</v>
      </c>
    </row>
    <row r="117" spans="1:1" x14ac:dyDescent="0.2">
      <c r="A117" s="126" t="s">
        <v>39</v>
      </c>
    </row>
    <row r="118" spans="1:1" x14ac:dyDescent="0.2">
      <c r="A118" s="67" t="s">
        <v>8</v>
      </c>
    </row>
    <row r="120" spans="1:1" x14ac:dyDescent="0.2">
      <c r="A120" s="58" t="s">
        <v>13</v>
      </c>
    </row>
    <row r="121" spans="1:1" x14ac:dyDescent="0.2">
      <c r="A121" s="130" t="s">
        <v>14</v>
      </c>
    </row>
    <row r="122" spans="1:1" x14ac:dyDescent="0.2">
      <c r="A122" s="126" t="s">
        <v>39</v>
      </c>
    </row>
    <row r="123" spans="1:1" x14ac:dyDescent="0.2">
      <c r="A123" s="67" t="s">
        <v>8</v>
      </c>
    </row>
    <row r="125" spans="1:1" x14ac:dyDescent="0.2">
      <c r="A125" s="58" t="s">
        <v>13</v>
      </c>
    </row>
    <row r="126" spans="1:1" x14ac:dyDescent="0.2">
      <c r="A126" s="130" t="s">
        <v>14</v>
      </c>
    </row>
    <row r="127" spans="1:1" x14ac:dyDescent="0.2">
      <c r="A127" s="126" t="s">
        <v>39</v>
      </c>
    </row>
    <row r="128" spans="1:1" x14ac:dyDescent="0.2">
      <c r="A128" s="67" t="s">
        <v>8</v>
      </c>
    </row>
    <row r="130" spans="1:1" x14ac:dyDescent="0.2">
      <c r="A130" s="58" t="s">
        <v>13</v>
      </c>
    </row>
    <row r="131" spans="1:1" x14ac:dyDescent="0.2">
      <c r="A131" s="130" t="s">
        <v>14</v>
      </c>
    </row>
    <row r="132" spans="1:1" x14ac:dyDescent="0.2">
      <c r="A132" s="126" t="s">
        <v>39</v>
      </c>
    </row>
    <row r="133" spans="1:1" x14ac:dyDescent="0.2">
      <c r="A133" s="67" t="s">
        <v>8</v>
      </c>
    </row>
    <row r="135" spans="1:1" x14ac:dyDescent="0.2">
      <c r="A135" s="58" t="s">
        <v>13</v>
      </c>
    </row>
    <row r="136" spans="1:1" x14ac:dyDescent="0.2">
      <c r="A136" s="130" t="s">
        <v>14</v>
      </c>
    </row>
    <row r="137" spans="1:1" x14ac:dyDescent="0.2">
      <c r="A137" s="126" t="s">
        <v>39</v>
      </c>
    </row>
    <row r="138" spans="1:1" x14ac:dyDescent="0.2">
      <c r="A138" s="67" t="s">
        <v>8</v>
      </c>
    </row>
    <row r="140" spans="1:1" x14ac:dyDescent="0.2">
      <c r="A140" s="58" t="s">
        <v>13</v>
      </c>
    </row>
    <row r="141" spans="1:1" x14ac:dyDescent="0.2">
      <c r="A141" s="58" t="s">
        <v>14</v>
      </c>
    </row>
    <row r="142" spans="1:1" x14ac:dyDescent="0.2">
      <c r="A142" s="126" t="s">
        <v>39</v>
      </c>
    </row>
    <row r="143" spans="1:1" x14ac:dyDescent="0.2">
      <c r="A143" s="67" t="s">
        <v>8</v>
      </c>
    </row>
    <row r="148" spans="1:1" x14ac:dyDescent="0.2">
      <c r="A148" s="31" t="s">
        <v>57</v>
      </c>
    </row>
    <row r="149" spans="1:1" x14ac:dyDescent="0.2">
      <c r="A149" s="58" t="s">
        <v>13</v>
      </c>
    </row>
    <row r="150" spans="1:1" x14ac:dyDescent="0.2">
      <c r="A150" s="58" t="s">
        <v>14</v>
      </c>
    </row>
    <row r="151" spans="1:1" x14ac:dyDescent="0.2">
      <c r="A151" s="130" t="s">
        <v>14</v>
      </c>
    </row>
    <row r="152" spans="1:1" x14ac:dyDescent="0.2">
      <c r="A152" s="121" t="s">
        <v>39</v>
      </c>
    </row>
  </sheetData>
  <mergeCells count="3">
    <mergeCell ref="D12:F12"/>
    <mergeCell ref="D9:G9"/>
    <mergeCell ref="H9:K9"/>
  </mergeCells>
  <conditionalFormatting sqref="D74:G74 F70 D62:F62 F47:F53 H62:K62 J70:K70 J47:K53 H40:K46 H47:I56 H57:K60 D40:F46 D47:E56 D57:F60 D63:K66 D33:K38 G40:G54 D29:K31 G56:G60">
    <cfRule type="expression" dxfId="102" priority="698">
      <formula>#REF!&gt;=100</formula>
    </cfRule>
  </conditionalFormatting>
  <conditionalFormatting sqref="H74:K74">
    <cfRule type="expression" dxfId="101" priority="716">
      <formula>#REF!&gt;=100</formula>
    </cfRule>
  </conditionalFormatting>
  <conditionalFormatting sqref="L29:L31 L33:L38 L40:L73">
    <cfRule type="expression" dxfId="100" priority="717">
      <formula>#REF!&gt;=100</formula>
    </cfRule>
  </conditionalFormatting>
  <hyperlinks>
    <hyperlink ref="A6" location="КАФЕДРА!R21C106" display="← на общую страницу"/>
  </hyperlinks>
  <pageMargins left="0.23622047244094491" right="0.23622047244094491" top="0.35433070866141736" bottom="0.35433070866141736" header="0" footer="0"/>
  <pageSetup paperSize="9" scale="57" orientation="landscape"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1">
    <tabColor theme="6" tint="-0.499984740745262"/>
    <pageSetUpPr fitToPage="1"/>
  </sheetPr>
  <dimension ref="A1:EE529"/>
  <sheetViews>
    <sheetView topLeftCell="A5" zoomScale="70" zoomScaleNormal="70" workbookViewId="0">
      <selection activeCell="AH62" sqref="AH62"/>
    </sheetView>
  </sheetViews>
  <sheetFormatPr defaultColWidth="9.140625" defaultRowHeight="14.25" x14ac:dyDescent="0.2"/>
  <cols>
    <col min="1" max="1" width="50.7109375" style="31" customWidth="1"/>
    <col min="2" max="2" width="8.140625" style="31" hidden="1" customWidth="1"/>
    <col min="3" max="3" width="13.7109375" style="31" customWidth="1"/>
    <col min="4" max="4" width="16.7109375" style="31" customWidth="1"/>
    <col min="5" max="5" width="6.28515625" style="31" customWidth="1"/>
    <col min="6" max="7" width="12.7109375" style="31" hidden="1" customWidth="1"/>
    <col min="8" max="11" width="10.85546875" style="31" hidden="1" customWidth="1"/>
    <col min="12" max="12" width="12.42578125" style="31" hidden="1" customWidth="1"/>
    <col min="13" max="14" width="13.5703125" style="31" hidden="1" customWidth="1"/>
    <col min="15" max="15" width="18.7109375" style="31" hidden="1" customWidth="1"/>
    <col min="16" max="16" width="10.85546875" style="31" hidden="1" customWidth="1"/>
    <col min="17" max="17" width="22.7109375" style="31" hidden="1" customWidth="1"/>
    <col min="18" max="19" width="18.28515625" style="31" hidden="1" customWidth="1"/>
    <col min="20" max="20" width="33.140625" style="31" hidden="1" customWidth="1"/>
    <col min="21" max="21" width="25" style="31" hidden="1" customWidth="1"/>
    <col min="22" max="22" width="13.7109375" style="31" hidden="1" customWidth="1"/>
    <col min="23" max="23" width="12.140625" style="31" hidden="1" customWidth="1"/>
    <col min="24" max="24" width="12.5703125" style="31" hidden="1" customWidth="1"/>
    <col min="25" max="25" width="12.85546875" style="31" hidden="1" customWidth="1"/>
    <col min="26" max="26" width="14.85546875" style="31" hidden="1" customWidth="1"/>
    <col min="27" max="27" width="10.85546875" style="31" hidden="1" customWidth="1"/>
    <col min="28" max="28" width="15" style="31" hidden="1" customWidth="1"/>
    <col min="29" max="29" width="12.85546875" style="31" hidden="1" customWidth="1"/>
    <col min="30" max="30" width="16.85546875" style="31" hidden="1" customWidth="1"/>
    <col min="31" max="31" width="15.85546875" style="31" hidden="1" customWidth="1"/>
    <col min="32" max="32" width="10.85546875" style="31" hidden="1" customWidth="1"/>
    <col min="33" max="33" width="23" style="31" customWidth="1"/>
    <col min="34" max="34" width="24" style="31" customWidth="1"/>
    <col min="35" max="35" width="10.85546875" style="31" customWidth="1"/>
    <col min="36" max="36" width="15.140625" style="31" hidden="1" customWidth="1"/>
    <col min="37" max="37" width="15" style="31" hidden="1" customWidth="1"/>
    <col min="38" max="38" width="10.85546875" style="31" hidden="1" customWidth="1"/>
    <col min="39" max="39" width="20.42578125" style="31" hidden="1" customWidth="1"/>
    <col min="40" max="40" width="21" style="31" hidden="1" customWidth="1"/>
    <col min="41" max="41" width="20.42578125" style="31" hidden="1" customWidth="1"/>
    <col min="42" max="42" width="19.42578125" style="31" hidden="1" customWidth="1"/>
    <col min="43" max="43" width="21" style="31" hidden="1" customWidth="1"/>
    <col min="44" max="44" width="18.28515625" style="31" hidden="1" customWidth="1"/>
    <col min="45" max="45" width="21.5703125" style="31" hidden="1" customWidth="1"/>
    <col min="46" max="46" width="20.85546875" style="31" hidden="1" customWidth="1"/>
    <col min="47" max="47" width="17.7109375" style="31" hidden="1" customWidth="1"/>
    <col min="48" max="48" width="13.28515625" style="31" hidden="1" customWidth="1"/>
    <col min="49" max="49" width="14.140625" style="31" hidden="1" customWidth="1"/>
    <col min="50" max="50" width="17.42578125" style="31" hidden="1" customWidth="1"/>
    <col min="51" max="51" width="14.140625" style="31" hidden="1" customWidth="1"/>
    <col min="52" max="52" width="16.85546875" style="31" hidden="1" customWidth="1"/>
    <col min="53" max="56" width="10.85546875" style="31" hidden="1" customWidth="1"/>
    <col min="57" max="57" width="21.42578125" style="31" customWidth="1"/>
    <col min="58" max="58" width="19.42578125" style="34" customWidth="1"/>
    <col min="59" max="59" width="10.85546875" style="31" customWidth="1"/>
    <col min="60" max="60" width="18.42578125" style="31" bestFit="1" customWidth="1"/>
    <col min="61" max="61" width="20.140625" style="31" bestFit="1" customWidth="1"/>
    <col min="62" max="63" width="10.85546875" style="31" customWidth="1"/>
    <col min="64" max="64" width="19.28515625" style="31" bestFit="1" customWidth="1"/>
    <col min="65" max="65" width="17" style="31" bestFit="1" customWidth="1"/>
    <col min="66" max="67" width="10.85546875" style="31" customWidth="1"/>
    <col min="68" max="68" width="13.7109375" style="31" hidden="1" customWidth="1"/>
    <col min="69" max="69" width="10.85546875" style="31" hidden="1" customWidth="1"/>
    <col min="70" max="76" width="15.85546875" style="31" hidden="1" customWidth="1"/>
    <col min="77" max="77" width="18.140625" style="31" hidden="1" customWidth="1"/>
    <col min="78" max="78" width="19.28515625" style="31" hidden="1" customWidth="1"/>
    <col min="79" max="79" width="15.85546875" style="31" hidden="1" customWidth="1"/>
    <col min="80" max="80" width="11" style="31" hidden="1" customWidth="1"/>
    <col min="81" max="81" width="16" style="31" hidden="1" customWidth="1"/>
    <col min="82" max="82" width="11.140625" style="31" hidden="1" customWidth="1"/>
    <col min="83" max="83" width="16.28515625" style="31" hidden="1" customWidth="1"/>
    <col min="84" max="84" width="13.42578125" style="31" hidden="1" customWidth="1"/>
    <col min="85" max="85" width="12.42578125" style="31" hidden="1" customWidth="1"/>
    <col min="86" max="86" width="14.28515625" style="31" hidden="1" customWidth="1"/>
    <col min="87" max="87" width="13.85546875" style="31" hidden="1" customWidth="1"/>
    <col min="88" max="88" width="12.42578125" style="31" hidden="1" customWidth="1"/>
    <col min="89" max="89" width="23.42578125" style="31" hidden="1" customWidth="1"/>
    <col min="90" max="90" width="22.7109375" style="31" hidden="1" customWidth="1"/>
    <col min="91" max="91" width="12.42578125" style="31" hidden="1" customWidth="1"/>
    <col min="92" max="92" width="10.85546875" style="31" customWidth="1"/>
    <col min="93" max="93" width="21.140625" style="35" customWidth="1"/>
    <col min="94" max="94" width="10.85546875" style="151" hidden="1" customWidth="1"/>
    <col min="95" max="95" width="2.28515625" style="33" customWidth="1"/>
    <col min="96" max="96" width="10.85546875" style="31" customWidth="1"/>
    <col min="97" max="97" width="19" style="31" hidden="1" customWidth="1"/>
    <col min="98" max="98" width="16" style="31" hidden="1" customWidth="1"/>
    <col min="99" max="99" width="10.85546875" style="31" hidden="1" customWidth="1"/>
    <col min="100" max="100" width="17.85546875" style="31" hidden="1" customWidth="1"/>
    <col min="101" max="114" width="10.85546875" style="31" hidden="1" customWidth="1"/>
    <col min="115" max="115" width="13.7109375" style="31" hidden="1" customWidth="1"/>
    <col min="116" max="116" width="10.85546875" style="31" hidden="1" customWidth="1"/>
    <col min="117" max="121" width="8.140625" style="31" hidden="1" customWidth="1"/>
    <col min="122" max="122" width="1.7109375" style="33" hidden="1" customWidth="1"/>
    <col min="123" max="123" width="26.5703125" style="146" hidden="1" customWidth="1"/>
    <col min="124" max="125" width="8.140625" style="146" hidden="1" customWidth="1"/>
    <col min="126" max="126" width="25" style="146" hidden="1" customWidth="1"/>
    <col min="127" max="127" width="18.7109375" style="146" hidden="1" customWidth="1"/>
    <col min="128" max="129" width="8.140625" style="146" hidden="1" customWidth="1"/>
    <col min="130" max="130" width="20.85546875" style="146" hidden="1" customWidth="1"/>
    <col min="131" max="132" width="8.140625" style="31" hidden="1" customWidth="1"/>
    <col min="133" max="133" width="28.5703125" style="146" hidden="1" customWidth="1"/>
    <col min="134" max="135" width="8.140625" style="31" hidden="1" customWidth="1"/>
    <col min="136" max="136" width="8.140625" style="31" customWidth="1"/>
    <col min="137" max="16384" width="9.140625" style="31"/>
  </cols>
  <sheetData>
    <row r="1" spans="1:133" s="25" customFormat="1" ht="19.5" hidden="1" customHeight="1" x14ac:dyDescent="0.25">
      <c r="A1" s="23" t="s">
        <v>3</v>
      </c>
      <c r="B1" s="23" t="str">
        <f>ТИТУЛ!C1</f>
        <v xml:space="preserve">Впишите название факультет </v>
      </c>
      <c r="C1" s="23"/>
      <c r="D1" s="24"/>
      <c r="E1" s="24"/>
      <c r="F1" s="601"/>
      <c r="G1" s="601"/>
      <c r="H1" s="601"/>
      <c r="I1" s="601"/>
      <c r="J1" s="601"/>
      <c r="K1" s="601"/>
      <c r="L1" s="601"/>
      <c r="M1" s="601"/>
      <c r="N1" s="601"/>
      <c r="O1" s="601"/>
      <c r="P1" s="601"/>
      <c r="Q1" s="601"/>
      <c r="R1" s="601"/>
      <c r="S1" s="601"/>
      <c r="T1" s="601"/>
      <c r="U1" s="601"/>
      <c r="V1" s="601"/>
      <c r="W1" s="601"/>
      <c r="X1" s="601"/>
      <c r="Y1" s="601"/>
      <c r="Z1" s="601"/>
      <c r="AA1" s="601"/>
      <c r="AB1" s="601"/>
      <c r="AC1" s="601"/>
      <c r="AD1" s="601"/>
      <c r="AE1" s="601"/>
      <c r="AF1" s="601"/>
      <c r="AG1" s="601"/>
      <c r="AH1" s="601"/>
      <c r="AI1" s="601"/>
      <c r="AJ1" s="601"/>
      <c r="AK1" s="601"/>
      <c r="AL1" s="601"/>
      <c r="AM1" s="601"/>
      <c r="AN1" s="601"/>
      <c r="AO1" s="601"/>
      <c r="AP1" s="601"/>
      <c r="AQ1" s="601"/>
      <c r="AR1" s="601"/>
      <c r="AS1" s="601"/>
      <c r="AT1" s="601"/>
      <c r="AU1" s="601"/>
      <c r="AV1" s="601"/>
      <c r="AW1" s="601"/>
      <c r="AX1" s="601"/>
      <c r="AY1" s="601"/>
      <c r="AZ1" s="601"/>
      <c r="BA1" s="601"/>
      <c r="BB1" s="601"/>
      <c r="BC1" s="601"/>
      <c r="BD1" s="601"/>
      <c r="BE1" s="601"/>
      <c r="BF1" s="601"/>
      <c r="BG1" s="601"/>
      <c r="BH1" s="601"/>
      <c r="BI1" s="601"/>
      <c r="BJ1" s="601"/>
      <c r="BK1" s="601"/>
      <c r="BL1" s="601"/>
      <c r="BM1" s="601"/>
      <c r="BN1" s="601"/>
      <c r="BO1" s="601"/>
      <c r="BP1" s="601"/>
      <c r="BQ1" s="601"/>
      <c r="BR1" s="601"/>
      <c r="BS1" s="601"/>
      <c r="BT1" s="601"/>
      <c r="BU1" s="601"/>
      <c r="BV1" s="601"/>
      <c r="BW1" s="601"/>
      <c r="BX1" s="601"/>
      <c r="BY1" s="601"/>
      <c r="BZ1" s="601"/>
      <c r="CA1" s="601"/>
      <c r="CB1" s="601"/>
      <c r="CC1" s="601"/>
      <c r="CD1" s="601"/>
      <c r="CE1" s="601"/>
      <c r="CF1" s="601"/>
      <c r="CG1" s="601"/>
      <c r="CH1" s="601"/>
      <c r="CI1" s="601"/>
      <c r="CJ1" s="601"/>
      <c r="CK1" s="601"/>
      <c r="CL1" s="601"/>
      <c r="CM1" s="601"/>
      <c r="CO1" s="28"/>
      <c r="CP1" s="150"/>
      <c r="CQ1" s="26"/>
      <c r="CS1" s="25">
        <v>150</v>
      </c>
      <c r="CT1" s="25">
        <v>151</v>
      </c>
      <c r="CU1" s="25">
        <v>152</v>
      </c>
      <c r="CV1" s="25">
        <v>153</v>
      </c>
      <c r="CW1" s="25">
        <v>154</v>
      </c>
      <c r="CX1" s="25">
        <v>155</v>
      </c>
      <c r="CY1" s="25">
        <v>156</v>
      </c>
      <c r="CZ1" s="25">
        <v>157</v>
      </c>
      <c r="DA1" s="25">
        <v>158</v>
      </c>
      <c r="DB1" s="25">
        <v>159</v>
      </c>
      <c r="DC1" s="25">
        <v>160</v>
      </c>
      <c r="DD1" s="25">
        <v>161</v>
      </c>
      <c r="DE1" s="25">
        <v>162</v>
      </c>
      <c r="DF1" s="25">
        <v>163</v>
      </c>
      <c r="DG1" s="25">
        <v>164</v>
      </c>
      <c r="DH1" s="25">
        <v>165</v>
      </c>
      <c r="DI1" s="25">
        <v>166</v>
      </c>
      <c r="DJ1" s="25">
        <v>167</v>
      </c>
      <c r="DK1" s="25">
        <v>168</v>
      </c>
      <c r="DL1" s="25">
        <v>169</v>
      </c>
      <c r="DM1" s="25">
        <v>170</v>
      </c>
      <c r="DR1" s="26"/>
      <c r="DS1" s="146">
        <v>176</v>
      </c>
      <c r="DT1" s="146">
        <v>177</v>
      </c>
      <c r="DU1" s="146">
        <v>178</v>
      </c>
      <c r="DV1" s="146">
        <v>179</v>
      </c>
      <c r="DW1" s="146">
        <v>180</v>
      </c>
      <c r="DX1" s="146">
        <v>181</v>
      </c>
      <c r="DY1" s="146">
        <v>182</v>
      </c>
      <c r="DZ1" s="146">
        <v>183</v>
      </c>
      <c r="EA1" s="146">
        <v>184</v>
      </c>
      <c r="EB1" s="25">
        <v>185</v>
      </c>
      <c r="EC1" s="145">
        <v>186</v>
      </c>
    </row>
    <row r="2" spans="1:133" ht="19.5" hidden="1" x14ac:dyDescent="0.25">
      <c r="A2" s="23" t="s">
        <v>4</v>
      </c>
      <c r="B2" s="23" t="str">
        <f>ТИТУЛ!C2</f>
        <v>Кафедра Впишите название</v>
      </c>
      <c r="C2" s="29"/>
      <c r="D2" s="30"/>
      <c r="E2" s="30"/>
      <c r="F2" s="604"/>
      <c r="G2" s="604"/>
      <c r="H2" s="604"/>
      <c r="I2" s="604"/>
      <c r="J2" s="604"/>
      <c r="K2" s="604"/>
      <c r="L2" s="604"/>
      <c r="M2" s="604"/>
      <c r="N2" s="604"/>
      <c r="O2" s="604"/>
      <c r="P2" s="604"/>
      <c r="Q2" s="604"/>
      <c r="R2" s="604"/>
      <c r="S2" s="604"/>
      <c r="T2" s="604"/>
      <c r="U2" s="604"/>
      <c r="V2" s="604"/>
      <c r="W2" s="604"/>
      <c r="X2" s="604"/>
      <c r="Y2" s="604"/>
      <c r="Z2" s="604"/>
      <c r="AA2" s="604"/>
      <c r="AB2" s="604"/>
      <c r="AC2" s="604"/>
      <c r="AD2" s="604"/>
      <c r="AE2" s="604"/>
      <c r="AF2" s="604"/>
      <c r="AG2" s="604"/>
      <c r="AH2" s="604"/>
      <c r="AI2" s="604"/>
      <c r="AJ2" s="604"/>
      <c r="AK2" s="604"/>
      <c r="AL2" s="604"/>
      <c r="AM2" s="604"/>
      <c r="AN2" s="604"/>
      <c r="AO2" s="604"/>
      <c r="AP2" s="604"/>
      <c r="AQ2" s="604"/>
      <c r="AR2" s="604"/>
      <c r="AS2" s="604"/>
      <c r="AT2" s="604"/>
      <c r="AU2" s="604"/>
      <c r="AV2" s="604"/>
      <c r="AW2" s="604"/>
      <c r="AX2" s="604"/>
      <c r="AY2" s="604"/>
      <c r="AZ2" s="604"/>
      <c r="BA2" s="604"/>
      <c r="BB2" s="604"/>
      <c r="BC2" s="604"/>
      <c r="BD2" s="604"/>
      <c r="BE2" s="32"/>
      <c r="BF2" s="32"/>
      <c r="BI2" s="25"/>
      <c r="BJ2" s="25"/>
      <c r="BM2" s="25"/>
      <c r="BN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</row>
    <row r="3" spans="1:133" ht="19.5" hidden="1" x14ac:dyDescent="0.25">
      <c r="A3" s="36" t="s">
        <v>15</v>
      </c>
      <c r="B3" s="36" t="str">
        <f>ТИТУЛ!C3</f>
        <v>Да</v>
      </c>
      <c r="C3" s="29"/>
      <c r="D3" s="30"/>
      <c r="E3" s="30"/>
      <c r="F3" s="32"/>
      <c r="G3" s="32"/>
      <c r="H3" s="32"/>
      <c r="J3" s="37"/>
      <c r="K3" s="37"/>
      <c r="M3" s="37"/>
      <c r="N3" s="37"/>
      <c r="P3" s="37"/>
      <c r="Q3" s="37"/>
      <c r="T3" s="37"/>
      <c r="U3" s="37"/>
      <c r="V3" s="37"/>
      <c r="Z3" s="37"/>
      <c r="AA3" s="37"/>
      <c r="AE3" s="37"/>
      <c r="AF3" s="37"/>
      <c r="AH3" s="37"/>
      <c r="AI3" s="37"/>
      <c r="AK3" s="37"/>
      <c r="AL3" s="37"/>
      <c r="AM3" s="37"/>
      <c r="AN3" s="37"/>
      <c r="AO3" s="37"/>
      <c r="AP3" s="32"/>
      <c r="AQ3" s="32"/>
      <c r="AR3" s="32"/>
      <c r="AS3" s="604"/>
      <c r="AT3" s="604"/>
      <c r="AU3" s="604"/>
      <c r="AV3" s="604"/>
      <c r="AW3" s="604"/>
      <c r="AX3" s="604"/>
      <c r="AY3" s="604"/>
      <c r="AZ3" s="604"/>
      <c r="BA3" s="604"/>
      <c r="BB3" s="604"/>
      <c r="BC3" s="604"/>
      <c r="BD3" s="604"/>
      <c r="BE3" s="32"/>
      <c r="BF3" s="32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</row>
    <row r="4" spans="1:133" s="106" customFormat="1" ht="15" hidden="1" thickBot="1" x14ac:dyDescent="0.25">
      <c r="A4" s="355" t="s">
        <v>17</v>
      </c>
      <c r="B4" s="355" t="str">
        <f>ТИТУЛ!C4</f>
        <v>Да</v>
      </c>
      <c r="C4" s="355"/>
      <c r="D4" s="356"/>
      <c r="E4" s="356"/>
      <c r="F4" s="358"/>
      <c r="G4" s="358"/>
      <c r="H4" s="357"/>
      <c r="I4" s="358"/>
      <c r="J4" s="358"/>
      <c r="K4" s="357"/>
      <c r="L4" s="358"/>
      <c r="M4" s="358"/>
      <c r="N4" s="357"/>
      <c r="O4" s="358"/>
      <c r="P4" s="358"/>
      <c r="Q4" s="357"/>
      <c r="R4" s="358"/>
      <c r="S4" s="358"/>
      <c r="T4" s="358"/>
      <c r="U4" s="358"/>
      <c r="V4" s="357"/>
      <c r="W4" s="358"/>
      <c r="X4" s="358"/>
      <c r="Y4" s="358"/>
      <c r="Z4" s="358"/>
      <c r="AA4" s="357"/>
      <c r="AB4" s="358"/>
      <c r="AC4" s="358"/>
      <c r="AD4" s="358"/>
      <c r="AE4" s="358"/>
      <c r="AF4" s="357"/>
      <c r="AG4" s="358"/>
      <c r="AH4" s="358"/>
      <c r="AI4" s="357"/>
      <c r="AJ4" s="358"/>
      <c r="AK4" s="358"/>
      <c r="AL4" s="357"/>
      <c r="AM4" s="357"/>
      <c r="AN4" s="357"/>
      <c r="AO4" s="357"/>
      <c r="AP4" s="357"/>
      <c r="AQ4" s="357"/>
      <c r="AR4" s="357"/>
      <c r="AS4" s="358"/>
      <c r="AT4" s="358"/>
      <c r="AU4" s="358"/>
      <c r="AV4" s="358"/>
      <c r="AW4" s="358"/>
      <c r="AX4" s="358"/>
      <c r="AY4" s="358"/>
      <c r="AZ4" s="358"/>
      <c r="BA4" s="358"/>
      <c r="BB4" s="358"/>
      <c r="BC4" s="358"/>
      <c r="BD4" s="358"/>
      <c r="BE4" s="358"/>
      <c r="BF4" s="358"/>
      <c r="CO4" s="361"/>
      <c r="CP4" s="362"/>
      <c r="CQ4" s="107"/>
      <c r="CS4" s="363" t="s">
        <v>51</v>
      </c>
      <c r="CT4" s="363" t="s">
        <v>29</v>
      </c>
      <c r="CU4" s="364" t="s">
        <v>52</v>
      </c>
      <c r="CV4" s="363" t="s">
        <v>46</v>
      </c>
      <c r="CW4" s="363" t="s">
        <v>48</v>
      </c>
      <c r="CX4" s="363" t="s">
        <v>47</v>
      </c>
      <c r="CY4" s="363" t="s">
        <v>49</v>
      </c>
      <c r="CZ4" s="363" t="s">
        <v>50</v>
      </c>
      <c r="DB4" s="363" t="s">
        <v>51</v>
      </c>
      <c r="DC4" s="363" t="s">
        <v>29</v>
      </c>
      <c r="DD4" s="364" t="s">
        <v>52</v>
      </c>
      <c r="DE4" s="363" t="s">
        <v>46</v>
      </c>
      <c r="DF4" s="363" t="s">
        <v>48</v>
      </c>
      <c r="DG4" s="363" t="s">
        <v>47</v>
      </c>
      <c r="DH4" s="363" t="s">
        <v>49</v>
      </c>
      <c r="DI4" s="363" t="s">
        <v>50</v>
      </c>
      <c r="DK4" s="363" t="s">
        <v>55</v>
      </c>
      <c r="DO4" s="106" t="s">
        <v>56</v>
      </c>
      <c r="DR4" s="107"/>
      <c r="DS4" s="358"/>
      <c r="DT4" s="358"/>
      <c r="DU4" s="358"/>
      <c r="DV4" s="358"/>
      <c r="DW4" s="358"/>
      <c r="DX4" s="358"/>
      <c r="DY4" s="358"/>
      <c r="DZ4" s="358"/>
      <c r="EC4" s="358"/>
    </row>
    <row r="5" spans="1:133" ht="19.5" x14ac:dyDescent="0.25">
      <c r="A5" s="29" t="s">
        <v>18</v>
      </c>
      <c r="B5" s="29" t="str">
        <f>ТИТУЛ!C5</f>
        <v>Да</v>
      </c>
      <c r="C5" s="29"/>
      <c r="D5" s="30"/>
      <c r="E5" s="30"/>
      <c r="F5" s="447" t="s">
        <v>290</v>
      </c>
      <c r="G5" s="27"/>
      <c r="H5" s="27"/>
      <c r="AP5" s="601"/>
      <c r="AQ5" s="601"/>
      <c r="AR5" s="601"/>
      <c r="AS5" s="601"/>
      <c r="AT5" s="601"/>
      <c r="AU5" s="601"/>
      <c r="AV5" s="40"/>
      <c r="AW5" s="40"/>
      <c r="AX5" s="40"/>
      <c r="AY5" s="601"/>
      <c r="AZ5" s="601"/>
      <c r="BA5" s="601"/>
      <c r="BB5" s="604"/>
      <c r="BC5" s="604"/>
      <c r="BD5" s="604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604"/>
      <c r="BT5" s="604"/>
      <c r="BU5" s="604"/>
      <c r="BV5" s="604"/>
      <c r="BW5" s="604"/>
      <c r="BX5" s="604"/>
      <c r="BY5" s="604"/>
      <c r="BZ5" s="604"/>
      <c r="CA5" s="604"/>
    </row>
    <row r="6" spans="1:133" ht="21" x14ac:dyDescent="0.35">
      <c r="A6" s="387" t="str">
        <f>ТИТУЛ!$B$22&amp;" квартал "&amp;ТИТУЛ!$D$22&amp;" года"</f>
        <v>2 квартал 2024 года</v>
      </c>
      <c r="B6" s="365" t="str">
        <f>ТИТУЛ!C6</f>
        <v>Нет</v>
      </c>
      <c r="C6" s="29"/>
      <c r="D6" s="30"/>
      <c r="E6" s="30"/>
      <c r="F6" s="448" t="s">
        <v>214</v>
      </c>
      <c r="G6" s="32"/>
      <c r="H6" s="32"/>
      <c r="O6" s="170" t="s">
        <v>395</v>
      </c>
      <c r="AP6" s="32"/>
      <c r="AQ6" s="32"/>
      <c r="AR6" s="32"/>
      <c r="AS6" s="604"/>
      <c r="AT6" s="604"/>
      <c r="AU6" s="604"/>
      <c r="AV6" s="40"/>
      <c r="AW6" s="40"/>
      <c r="AX6" s="40"/>
      <c r="AY6" s="604"/>
      <c r="AZ6" s="604"/>
      <c r="BA6" s="604"/>
      <c r="BB6" s="366"/>
      <c r="BC6" s="604"/>
      <c r="BD6" s="604"/>
      <c r="BE6" s="542"/>
      <c r="BF6" s="32"/>
      <c r="BG6" s="32"/>
      <c r="BH6" s="366"/>
      <c r="BI6" s="32"/>
      <c r="BJ6" s="32"/>
      <c r="BK6" s="32"/>
      <c r="BL6" s="366"/>
      <c r="BM6" s="32"/>
      <c r="BN6" s="32"/>
      <c r="BO6" s="32"/>
      <c r="BP6" s="32"/>
      <c r="BQ6" s="32"/>
      <c r="BR6" s="32"/>
      <c r="BS6" s="604"/>
      <c r="BT6" s="604"/>
      <c r="BU6" s="604"/>
      <c r="BV6" s="604"/>
      <c r="BW6" s="604"/>
      <c r="BX6" s="604"/>
      <c r="BY6" s="604"/>
      <c r="BZ6" s="604"/>
      <c r="CA6" s="604"/>
      <c r="CN6" s="604"/>
    </row>
    <row r="7" spans="1:133" ht="19.5" customHeight="1" x14ac:dyDescent="0.25">
      <c r="A7" s="138" t="s">
        <v>118</v>
      </c>
      <c r="B7" s="139"/>
      <c r="C7" s="41">
        <f>ТИТУЛ!$C7</f>
        <v>0</v>
      </c>
      <c r="D7" s="42"/>
      <c r="E7" s="42"/>
      <c r="F7" s="539"/>
      <c r="G7" s="694"/>
      <c r="H7" s="694"/>
      <c r="I7" s="604"/>
      <c r="J7" s="604"/>
      <c r="K7" s="604"/>
      <c r="L7" s="604"/>
      <c r="M7" s="604"/>
      <c r="N7" s="604"/>
      <c r="O7" s="604"/>
      <c r="P7" s="604"/>
      <c r="Q7" s="604"/>
      <c r="R7" s="604"/>
      <c r="S7" s="604"/>
      <c r="T7" s="604"/>
      <c r="U7" s="604"/>
      <c r="V7" s="604"/>
      <c r="W7" s="604"/>
      <c r="X7" s="604"/>
      <c r="Y7" s="604"/>
      <c r="Z7" s="604"/>
      <c r="AA7" s="604"/>
      <c r="AB7" s="604"/>
      <c r="AC7" s="604"/>
      <c r="AD7" s="604"/>
      <c r="AE7" s="604"/>
      <c r="AF7" s="604"/>
      <c r="AG7" s="604"/>
      <c r="AH7" s="604"/>
      <c r="AI7" s="604"/>
      <c r="AJ7" s="604"/>
      <c r="AK7" s="604"/>
      <c r="AL7" s="604"/>
      <c r="AM7" s="604"/>
      <c r="AN7" s="604"/>
      <c r="AO7" s="604"/>
      <c r="AP7" s="693"/>
      <c r="AQ7" s="694"/>
      <c r="AR7" s="694"/>
      <c r="AS7" s="693"/>
      <c r="AT7" s="694"/>
      <c r="AU7" s="694"/>
      <c r="AV7" s="694"/>
      <c r="AW7" s="694"/>
      <c r="AX7" s="694"/>
      <c r="AY7" s="693"/>
      <c r="AZ7" s="694"/>
      <c r="BA7" s="694"/>
      <c r="BB7" s="501"/>
      <c r="BC7" s="543"/>
      <c r="BD7" s="543"/>
      <c r="BE7" s="501"/>
      <c r="BF7" s="543"/>
      <c r="BG7" s="543"/>
      <c r="BH7" s="501" t="s">
        <v>67</v>
      </c>
      <c r="BI7" s="367"/>
      <c r="BJ7" s="367"/>
      <c r="BK7" s="694"/>
      <c r="BL7" s="501" t="s">
        <v>67</v>
      </c>
      <c r="BM7" s="367"/>
      <c r="BN7" s="367"/>
      <c r="BO7" s="694"/>
      <c r="BP7" s="694"/>
      <c r="BQ7" s="694"/>
      <c r="BR7" s="694"/>
      <c r="BS7" s="694"/>
      <c r="BT7" s="694"/>
      <c r="BU7" s="694"/>
      <c r="BV7" s="694"/>
      <c r="BW7" s="694"/>
      <c r="BX7" s="694"/>
      <c r="BY7" s="694"/>
      <c r="BZ7" s="694"/>
      <c r="CA7" s="694"/>
      <c r="CB7" s="366"/>
      <c r="CC7" s="694"/>
      <c r="CD7" s="694"/>
      <c r="CE7" s="694"/>
      <c r="CF7" s="694"/>
      <c r="CG7" s="694"/>
      <c r="CH7" s="694"/>
      <c r="CI7" s="694"/>
      <c r="CJ7" s="694"/>
      <c r="CK7" s="694"/>
      <c r="CL7" s="694"/>
      <c r="CM7" s="694"/>
    </row>
    <row r="8" spans="1:133" ht="33.75" customHeight="1" x14ac:dyDescent="0.25">
      <c r="A8" s="138" t="s">
        <v>32</v>
      </c>
      <c r="B8" s="139"/>
      <c r="C8" s="44">
        <f>C19</f>
        <v>0</v>
      </c>
      <c r="D8" s="45"/>
      <c r="E8" s="45"/>
      <c r="F8" s="2361" t="s">
        <v>11</v>
      </c>
      <c r="G8" s="2361"/>
      <c r="H8" s="2361"/>
      <c r="I8" s="2361"/>
      <c r="J8" s="2361"/>
      <c r="K8" s="2361"/>
      <c r="L8" s="2361"/>
      <c r="M8" s="2361"/>
      <c r="N8" s="2361"/>
      <c r="O8" s="2361"/>
      <c r="P8" s="2361"/>
      <c r="Q8" s="2361"/>
      <c r="R8" s="2361"/>
      <c r="S8" s="2361"/>
      <c r="T8" s="2361"/>
      <c r="U8" s="2361"/>
      <c r="V8" s="2361"/>
      <c r="W8" s="2361"/>
      <c r="X8" s="2361"/>
      <c r="Y8" s="2361"/>
      <c r="Z8" s="2361"/>
      <c r="AA8" s="2361"/>
      <c r="AB8" s="2361"/>
      <c r="AC8" s="2361"/>
      <c r="AD8" s="2361"/>
      <c r="AE8" s="2361"/>
      <c r="AF8" s="2361"/>
      <c r="AG8" s="2361"/>
      <c r="AH8" s="2361"/>
      <c r="AI8" s="2361"/>
      <c r="AJ8" s="2361"/>
      <c r="AK8" s="2361"/>
      <c r="AL8" s="2361"/>
      <c r="AM8" s="2361"/>
      <c r="AN8" s="2361"/>
      <c r="AO8" s="2361"/>
      <c r="AP8" s="2361"/>
      <c r="AQ8" s="2361"/>
      <c r="AR8" s="2361"/>
      <c r="AS8" s="2361"/>
      <c r="AT8" s="2361"/>
      <c r="AU8" s="2361"/>
      <c r="AV8" s="2361"/>
      <c r="AW8" s="2361"/>
      <c r="AX8" s="2361"/>
      <c r="AY8" s="2361"/>
      <c r="AZ8" s="2361"/>
      <c r="BA8" s="2361"/>
      <c r="BB8" s="2361"/>
      <c r="BC8" s="2361"/>
      <c r="BD8" s="2361"/>
      <c r="BE8" s="2347" t="s">
        <v>175</v>
      </c>
      <c r="BF8" s="2347"/>
      <c r="BG8" s="2347"/>
      <c r="BH8" s="2347"/>
      <c r="BI8" s="2347"/>
      <c r="BJ8" s="2347"/>
      <c r="BK8" s="2347"/>
      <c r="BL8" s="2347"/>
      <c r="BM8" s="2347"/>
      <c r="BN8" s="2347"/>
      <c r="BO8" s="2347"/>
      <c r="BP8" s="2355" t="s">
        <v>9</v>
      </c>
      <c r="BQ8" s="2355"/>
      <c r="BR8" s="2355"/>
      <c r="BS8" s="2355"/>
      <c r="BT8" s="2355"/>
      <c r="BU8" s="2355"/>
      <c r="BV8" s="2355"/>
      <c r="BW8" s="2355"/>
      <c r="BX8" s="2355"/>
      <c r="BY8" s="2355"/>
      <c r="BZ8" s="2355"/>
      <c r="CA8" s="2355"/>
      <c r="CB8" s="2346" t="s">
        <v>20</v>
      </c>
      <c r="CC8" s="2346"/>
      <c r="CD8" s="2346"/>
      <c r="CE8" s="2346"/>
      <c r="CF8" s="2346"/>
      <c r="CG8" s="2346"/>
      <c r="CH8" s="2346"/>
      <c r="CI8" s="2346"/>
      <c r="CJ8" s="2346"/>
      <c r="CK8" s="2346"/>
      <c r="CL8" s="2346"/>
      <c r="CM8" s="2346"/>
      <c r="CS8" s="48" t="s">
        <v>66</v>
      </c>
      <c r="CT8" s="48"/>
      <c r="CU8" s="48"/>
      <c r="CV8" s="48"/>
      <c r="CW8" s="48"/>
      <c r="CX8" s="48"/>
      <c r="CY8" s="48" t="s">
        <v>89</v>
      </c>
      <c r="CZ8" s="48"/>
      <c r="DB8" s="48" t="s">
        <v>66</v>
      </c>
      <c r="DC8" s="49"/>
      <c r="DD8" s="49"/>
      <c r="DE8" s="49"/>
      <c r="DF8" s="49"/>
      <c r="DG8" s="49"/>
      <c r="DH8" s="48" t="s">
        <v>89</v>
      </c>
      <c r="DI8" s="49"/>
    </row>
    <row r="9" spans="1:133" s="50" customFormat="1" ht="196.5" customHeight="1" x14ac:dyDescent="0.35">
      <c r="A9" s="2227" t="s">
        <v>172</v>
      </c>
      <c r="B9" s="2227"/>
      <c r="C9" s="2228"/>
      <c r="D9" s="18"/>
      <c r="E9" s="446">
        <f ca="1">NOW()</f>
        <v>45929.466219097223</v>
      </c>
      <c r="F9" s="2356" t="s">
        <v>451</v>
      </c>
      <c r="G9" s="2357"/>
      <c r="H9" s="2358"/>
      <c r="I9" s="2356" t="s">
        <v>653</v>
      </c>
      <c r="J9" s="2357"/>
      <c r="K9" s="2358"/>
      <c r="L9" s="2356" t="s">
        <v>652</v>
      </c>
      <c r="M9" s="2357"/>
      <c r="N9" s="2358"/>
      <c r="O9" s="2356" t="s">
        <v>654</v>
      </c>
      <c r="P9" s="2357"/>
      <c r="Q9" s="2358"/>
      <c r="R9" s="2356" t="s">
        <v>660</v>
      </c>
      <c r="S9" s="2359"/>
      <c r="T9" s="2357"/>
      <c r="U9" s="2359"/>
      <c r="V9" s="2358"/>
      <c r="W9" s="2356" t="s">
        <v>659</v>
      </c>
      <c r="X9" s="2357"/>
      <c r="Y9" s="2357"/>
      <c r="Z9" s="2357"/>
      <c r="AA9" s="2358"/>
      <c r="AB9" s="2356" t="s">
        <v>661</v>
      </c>
      <c r="AC9" s="2357"/>
      <c r="AD9" s="2357"/>
      <c r="AE9" s="2357"/>
      <c r="AF9" s="2358"/>
      <c r="AG9" s="2356" t="s">
        <v>701</v>
      </c>
      <c r="AH9" s="2357"/>
      <c r="AI9" s="2358"/>
      <c r="AJ9" s="2356" t="s">
        <v>662</v>
      </c>
      <c r="AK9" s="2357"/>
      <c r="AL9" s="2358"/>
      <c r="AM9" s="2356" t="s">
        <v>667</v>
      </c>
      <c r="AN9" s="2359"/>
      <c r="AO9" s="2360"/>
      <c r="AP9" s="2356" t="s">
        <v>672</v>
      </c>
      <c r="AQ9" s="2357"/>
      <c r="AR9" s="2357"/>
      <c r="AS9" s="2356" t="s">
        <v>668</v>
      </c>
      <c r="AT9" s="2357"/>
      <c r="AU9" s="2358"/>
      <c r="AV9" s="2356" t="s">
        <v>669</v>
      </c>
      <c r="AW9" s="2357"/>
      <c r="AX9" s="2357"/>
      <c r="AY9" s="2365" t="s">
        <v>671</v>
      </c>
      <c r="AZ9" s="2365"/>
      <c r="BA9" s="2365"/>
      <c r="BB9" s="2362" t="s">
        <v>651</v>
      </c>
      <c r="BC9" s="2363"/>
      <c r="BD9" s="2364"/>
      <c r="BE9" s="2229" t="s">
        <v>496</v>
      </c>
      <c r="BF9" s="2354"/>
      <c r="BG9" s="2230"/>
      <c r="BH9" s="2185" t="s">
        <v>682</v>
      </c>
      <c r="BI9" s="2175"/>
      <c r="BJ9" s="2175"/>
      <c r="BK9" s="2186"/>
      <c r="BL9" s="2185" t="s">
        <v>683</v>
      </c>
      <c r="BM9" s="2175"/>
      <c r="BN9" s="2175"/>
      <c r="BO9" s="2186"/>
      <c r="BP9" s="2351" t="s">
        <v>392</v>
      </c>
      <c r="BQ9" s="2352"/>
      <c r="BR9" s="2352"/>
      <c r="BS9" s="2348" t="s">
        <v>684</v>
      </c>
      <c r="BT9" s="2349"/>
      <c r="BU9" s="2350"/>
      <c r="BV9" s="2348" t="s">
        <v>685</v>
      </c>
      <c r="BW9" s="2349"/>
      <c r="BX9" s="2350"/>
      <c r="BY9" s="2348" t="s">
        <v>677</v>
      </c>
      <c r="BZ9" s="2349"/>
      <c r="CA9" s="2350"/>
      <c r="CB9" s="2351" t="s">
        <v>686</v>
      </c>
      <c r="CC9" s="2352"/>
      <c r="CD9" s="2353"/>
      <c r="CE9" s="2351" t="s">
        <v>447</v>
      </c>
      <c r="CF9" s="2352"/>
      <c r="CG9" s="2353"/>
      <c r="CH9" s="2343" t="s">
        <v>456</v>
      </c>
      <c r="CI9" s="2344"/>
      <c r="CJ9" s="2345"/>
      <c r="CK9" s="2343" t="s">
        <v>459</v>
      </c>
      <c r="CL9" s="2344"/>
      <c r="CM9" s="2345"/>
      <c r="CP9" s="153"/>
      <c r="CQ9" s="53"/>
      <c r="CS9" s="51" t="s">
        <v>53</v>
      </c>
      <c r="CT9" s="51" t="s">
        <v>53</v>
      </c>
      <c r="CU9" s="51" t="s">
        <v>53</v>
      </c>
      <c r="CV9" s="51" t="s">
        <v>53</v>
      </c>
      <c r="CW9" s="51" t="s">
        <v>53</v>
      </c>
      <c r="CX9" s="51" t="s">
        <v>53</v>
      </c>
      <c r="CY9" s="51" t="s">
        <v>53</v>
      </c>
      <c r="CZ9" s="51" t="s">
        <v>53</v>
      </c>
      <c r="DA9" s="54"/>
      <c r="DB9" s="51" t="s">
        <v>58</v>
      </c>
      <c r="DC9" s="51" t="s">
        <v>58</v>
      </c>
      <c r="DD9" s="51" t="s">
        <v>58</v>
      </c>
      <c r="DE9" s="51" t="s">
        <v>58</v>
      </c>
      <c r="DF9" s="51" t="s">
        <v>58</v>
      </c>
      <c r="DG9" s="51" t="s">
        <v>58</v>
      </c>
      <c r="DH9" s="51" t="s">
        <v>58</v>
      </c>
      <c r="DI9" s="51" t="s">
        <v>58</v>
      </c>
      <c r="DJ9" s="54"/>
      <c r="DK9" s="54" t="s">
        <v>62</v>
      </c>
      <c r="DL9" s="54" t="s">
        <v>62</v>
      </c>
      <c r="DM9" s="54" t="s">
        <v>62</v>
      </c>
      <c r="DN9" s="54"/>
      <c r="DO9" s="54" t="s">
        <v>63</v>
      </c>
      <c r="DP9" s="54" t="s">
        <v>63</v>
      </c>
      <c r="DQ9" s="54" t="s">
        <v>63</v>
      </c>
      <c r="DR9" s="53"/>
      <c r="DS9" s="156" t="s">
        <v>41</v>
      </c>
      <c r="DT9" s="156" t="s">
        <v>41</v>
      </c>
      <c r="DU9" s="156" t="s">
        <v>41</v>
      </c>
      <c r="DV9" s="156" t="s">
        <v>41</v>
      </c>
      <c r="DW9" s="156" t="s">
        <v>41</v>
      </c>
      <c r="DX9" s="156" t="s">
        <v>41</v>
      </c>
      <c r="DY9" s="156" t="s">
        <v>41</v>
      </c>
      <c r="DZ9" s="156" t="s">
        <v>41</v>
      </c>
      <c r="EC9" s="147"/>
    </row>
    <row r="10" spans="1:133" ht="179.25" customHeight="1" x14ac:dyDescent="0.2">
      <c r="A10" s="19" t="s">
        <v>326</v>
      </c>
      <c r="B10" s="20" t="s">
        <v>0</v>
      </c>
      <c r="C10" s="499" t="s">
        <v>32</v>
      </c>
      <c r="D10" s="500" t="s">
        <v>327</v>
      </c>
      <c r="E10" s="500" t="s">
        <v>119</v>
      </c>
      <c r="F10" s="640" t="s">
        <v>368</v>
      </c>
      <c r="G10" s="1560" t="s">
        <v>369</v>
      </c>
      <c r="H10" s="1557" t="s">
        <v>121</v>
      </c>
      <c r="I10" s="640" t="s">
        <v>396</v>
      </c>
      <c r="J10" s="1560" t="s">
        <v>397</v>
      </c>
      <c r="K10" s="1557" t="s">
        <v>121</v>
      </c>
      <c r="L10" s="640" t="s">
        <v>396</v>
      </c>
      <c r="M10" s="1560" t="s">
        <v>397</v>
      </c>
      <c r="N10" s="1557" t="s">
        <v>121</v>
      </c>
      <c r="O10" s="640" t="s">
        <v>293</v>
      </c>
      <c r="P10" s="643" t="s">
        <v>243</v>
      </c>
      <c r="Q10" s="1557" t="s">
        <v>198</v>
      </c>
      <c r="R10" s="640" t="s">
        <v>655</v>
      </c>
      <c r="S10" s="1560" t="s">
        <v>656</v>
      </c>
      <c r="T10" s="1557" t="s">
        <v>657</v>
      </c>
      <c r="U10" s="1581" t="s">
        <v>658</v>
      </c>
      <c r="V10" s="1557" t="s">
        <v>431</v>
      </c>
      <c r="W10" s="640" t="s">
        <v>432</v>
      </c>
      <c r="X10" s="1560" t="s">
        <v>433</v>
      </c>
      <c r="Y10" s="1557" t="s">
        <v>434</v>
      </c>
      <c r="Z10" s="1581" t="s">
        <v>399</v>
      </c>
      <c r="AA10" s="1557" t="s">
        <v>398</v>
      </c>
      <c r="AB10" s="640" t="s">
        <v>435</v>
      </c>
      <c r="AC10" s="1560" t="s">
        <v>436</v>
      </c>
      <c r="AD10" s="1557" t="s">
        <v>437</v>
      </c>
      <c r="AE10" s="1581" t="s">
        <v>438</v>
      </c>
      <c r="AF10" s="1557" t="s">
        <v>398</v>
      </c>
      <c r="AG10" s="640" t="s">
        <v>503</v>
      </c>
      <c r="AH10" s="1560" t="s">
        <v>504</v>
      </c>
      <c r="AI10" s="1557" t="s">
        <v>400</v>
      </c>
      <c r="AJ10" s="640" t="s">
        <v>401</v>
      </c>
      <c r="AK10" s="1560" t="s">
        <v>402</v>
      </c>
      <c r="AL10" s="1557" t="s">
        <v>400</v>
      </c>
      <c r="AM10" s="640" t="s">
        <v>663</v>
      </c>
      <c r="AN10" s="1560" t="s">
        <v>664</v>
      </c>
      <c r="AO10" s="1557" t="s">
        <v>665</v>
      </c>
      <c r="AP10" s="640" t="s">
        <v>251</v>
      </c>
      <c r="AQ10" s="1560" t="s">
        <v>666</v>
      </c>
      <c r="AR10" s="1557" t="s">
        <v>252</v>
      </c>
      <c r="AS10" s="640" t="s">
        <v>251</v>
      </c>
      <c r="AT10" s="1560" t="s">
        <v>439</v>
      </c>
      <c r="AU10" s="1557" t="s">
        <v>252</v>
      </c>
      <c r="AV10" s="640" t="s">
        <v>467</v>
      </c>
      <c r="AW10" s="1560" t="s">
        <v>468</v>
      </c>
      <c r="AX10" s="1557" t="s">
        <v>440</v>
      </c>
      <c r="AY10" s="640" t="s">
        <v>417</v>
      </c>
      <c r="AZ10" s="1560" t="s">
        <v>418</v>
      </c>
      <c r="BA10" s="1557" t="s">
        <v>121</v>
      </c>
      <c r="BB10" s="640" t="s">
        <v>454</v>
      </c>
      <c r="BC10" s="1560" t="s">
        <v>455</v>
      </c>
      <c r="BD10" s="1557" t="s">
        <v>121</v>
      </c>
      <c r="BE10" s="640" t="s">
        <v>393</v>
      </c>
      <c r="BF10" s="1562" t="s">
        <v>394</v>
      </c>
      <c r="BG10" s="1737" t="s">
        <v>121</v>
      </c>
      <c r="BH10" s="640" t="s">
        <v>371</v>
      </c>
      <c r="BI10" s="1562" t="s">
        <v>370</v>
      </c>
      <c r="BJ10" s="1737" t="s">
        <v>180</v>
      </c>
      <c r="BK10" s="642" t="s">
        <v>441</v>
      </c>
      <c r="BL10" s="640" t="s">
        <v>442</v>
      </c>
      <c r="BM10" s="1562" t="s">
        <v>370</v>
      </c>
      <c r="BN10" s="1737" t="s">
        <v>180</v>
      </c>
      <c r="BO10" s="642" t="s">
        <v>441</v>
      </c>
      <c r="BP10" s="611" t="s">
        <v>443</v>
      </c>
      <c r="BQ10" s="666" t="s">
        <v>36</v>
      </c>
      <c r="BR10" s="665" t="s">
        <v>294</v>
      </c>
      <c r="BS10" s="647" t="s">
        <v>419</v>
      </c>
      <c r="BT10" s="666" t="s">
        <v>420</v>
      </c>
      <c r="BU10" s="1738" t="s">
        <v>121</v>
      </c>
      <c r="BV10" s="647" t="s">
        <v>421</v>
      </c>
      <c r="BW10" s="666" t="s">
        <v>422</v>
      </c>
      <c r="BX10" s="1738" t="s">
        <v>121</v>
      </c>
      <c r="BY10" s="640" t="s">
        <v>675</v>
      </c>
      <c r="BZ10" s="666" t="s">
        <v>676</v>
      </c>
      <c r="CA10" s="1738" t="s">
        <v>121</v>
      </c>
      <c r="CB10" s="640" t="s">
        <v>444</v>
      </c>
      <c r="CC10" s="1570" t="s">
        <v>445</v>
      </c>
      <c r="CD10" s="1760" t="s">
        <v>446</v>
      </c>
      <c r="CE10" s="640" t="s">
        <v>448</v>
      </c>
      <c r="CF10" s="1570" t="s">
        <v>449</v>
      </c>
      <c r="CG10" s="1760" t="s">
        <v>450</v>
      </c>
      <c r="CH10" s="647" t="s">
        <v>423</v>
      </c>
      <c r="CI10" s="1570" t="s">
        <v>424</v>
      </c>
      <c r="CJ10" s="1760" t="s">
        <v>121</v>
      </c>
      <c r="CK10" s="647" t="s">
        <v>425</v>
      </c>
      <c r="CL10" s="1570" t="s">
        <v>426</v>
      </c>
      <c r="CM10" s="1760" t="s">
        <v>121</v>
      </c>
      <c r="CO10" s="140" t="s">
        <v>91</v>
      </c>
      <c r="CP10" s="154"/>
      <c r="CS10" s="51" t="s">
        <v>68</v>
      </c>
      <c r="CT10" s="51" t="s">
        <v>29</v>
      </c>
      <c r="CU10" s="51" t="s">
        <v>69</v>
      </c>
      <c r="CV10" s="51" t="s">
        <v>70</v>
      </c>
      <c r="CW10" s="51" t="s">
        <v>71</v>
      </c>
      <c r="CX10" s="51" t="s">
        <v>10</v>
      </c>
      <c r="CY10" s="52" t="s">
        <v>72</v>
      </c>
      <c r="CZ10" s="51" t="s">
        <v>12</v>
      </c>
      <c r="DB10" s="51" t="s">
        <v>68</v>
      </c>
      <c r="DC10" s="51" t="s">
        <v>29</v>
      </c>
      <c r="DD10" s="51" t="s">
        <v>69</v>
      </c>
      <c r="DE10" s="51" t="s">
        <v>70</v>
      </c>
      <c r="DF10" s="51" t="s">
        <v>71</v>
      </c>
      <c r="DG10" s="51" t="s">
        <v>10</v>
      </c>
      <c r="DH10" s="52" t="s">
        <v>72</v>
      </c>
      <c r="DI10" s="51" t="s">
        <v>12</v>
      </c>
      <c r="DJ10" s="55" t="s">
        <v>66</v>
      </c>
      <c r="DK10" s="51" t="s">
        <v>59</v>
      </c>
      <c r="DL10" s="51" t="s">
        <v>58</v>
      </c>
      <c r="DM10" s="51" t="s">
        <v>61</v>
      </c>
      <c r="DN10" s="55" t="s">
        <v>66</v>
      </c>
      <c r="DO10" s="51" t="s">
        <v>60</v>
      </c>
      <c r="DP10" s="51" t="s">
        <v>58</v>
      </c>
      <c r="DQ10" s="51" t="s">
        <v>61</v>
      </c>
      <c r="DS10" s="51" t="s">
        <v>68</v>
      </c>
      <c r="DT10" s="51" t="s">
        <v>29</v>
      </c>
      <c r="DU10" s="51" t="s">
        <v>69</v>
      </c>
      <c r="DV10" s="51" t="s">
        <v>70</v>
      </c>
      <c r="DW10" s="51" t="s">
        <v>71</v>
      </c>
      <c r="DX10" s="51" t="s">
        <v>10</v>
      </c>
      <c r="DY10" s="52" t="s">
        <v>72</v>
      </c>
      <c r="DZ10" s="51" t="s">
        <v>12</v>
      </c>
      <c r="EC10" s="156" t="s">
        <v>190</v>
      </c>
    </row>
    <row r="11" spans="1:133" ht="13.5" hidden="1" customHeight="1" x14ac:dyDescent="0.2">
      <c r="A11" s="31" t="s">
        <v>54</v>
      </c>
      <c r="H11" s="1734">
        <f>IF(ТИТУЛ!B22=4,1,0)</f>
        <v>0</v>
      </c>
      <c r="K11" s="1734">
        <f>IF(ТИТУЛ!B22=3,1,0)</f>
        <v>0</v>
      </c>
      <c r="N11" s="1734">
        <f>IF(ТИТУЛ!B22=3,1,0)</f>
        <v>0</v>
      </c>
      <c r="Q11" s="1734">
        <f>IF(ТИТУЛ!B22=3,1,0)</f>
        <v>0</v>
      </c>
      <c r="V11" s="1734">
        <f>IF(ТИТУЛ!B22=3,1,0)</f>
        <v>0</v>
      </c>
      <c r="AA11" s="1734">
        <f>IF(ТИТУЛ!B22=3,1,0)</f>
        <v>0</v>
      </c>
      <c r="AF11" s="1734">
        <f>IF(ТИТУЛ!B22=3,1,0)</f>
        <v>0</v>
      </c>
      <c r="AI11" s="1734">
        <f>IF(ТИТУЛ!B22=2,1,0)</f>
        <v>1</v>
      </c>
      <c r="AL11" s="1734">
        <f>IF(ТИТУЛ!B22=3,1,0)</f>
        <v>0</v>
      </c>
      <c r="AO11" s="1733">
        <f>IF(ТИТУЛ!B22=3,1,0)</f>
        <v>0</v>
      </c>
      <c r="AR11" s="1733">
        <f>IF(ТИТУЛ!B22=3,1,0)</f>
        <v>0</v>
      </c>
      <c r="AU11" s="1733">
        <f>IF(ТИТУЛ!B22=3,1,0)</f>
        <v>0</v>
      </c>
      <c r="AX11" s="1733">
        <f>IF(ТИТУЛ!B22=3,1,0)</f>
        <v>0</v>
      </c>
      <c r="BA11" s="1733">
        <f>IF(ТИТУЛ!B22=4,1,0)</f>
        <v>0</v>
      </c>
      <c r="BD11" s="1733">
        <f>IF(ТИТУЛ!B22=4,1,0)</f>
        <v>0</v>
      </c>
      <c r="BF11" s="604"/>
      <c r="BG11" s="1733">
        <v>0</v>
      </c>
      <c r="BK11" s="1733">
        <v>1</v>
      </c>
      <c r="BO11" s="1733">
        <v>1</v>
      </c>
      <c r="BR11" s="1733">
        <f>IF(OR(ТИТУЛ!B22=2,ТИТУЛ!B22=4),1,0)</f>
        <v>1</v>
      </c>
      <c r="BS11" s="146"/>
      <c r="BT11" s="146"/>
      <c r="BU11" s="1733">
        <f>IF(ТИТУЛ!B22=4,1,0)</f>
        <v>0</v>
      </c>
      <c r="BV11" s="146"/>
      <c r="BW11" s="146"/>
      <c r="BX11" s="1733">
        <f>IF(ТИТУЛ!B22=4,1,0)</f>
        <v>0</v>
      </c>
      <c r="BY11" s="1759"/>
      <c r="BZ11" s="1759"/>
      <c r="CA11" s="1733">
        <f>IF(OR(ТИТУЛ!B22=2,ТИТУЛ!B22=4),1,0)</f>
        <v>1</v>
      </c>
      <c r="CD11" s="1733">
        <v>1</v>
      </c>
      <c r="CG11" s="1733">
        <v>1</v>
      </c>
      <c r="CH11" s="146"/>
      <c r="CI11" s="146"/>
      <c r="CJ11" s="1733">
        <f>IF(ТИТУЛ!B22=4,1,0)</f>
        <v>0</v>
      </c>
      <c r="CK11" s="146"/>
      <c r="CL11" s="146"/>
      <c r="CM11" s="1733">
        <f>IF(ТИТУЛ!B22=4,1,0)</f>
        <v>0</v>
      </c>
      <c r="CO11" s="31"/>
    </row>
    <row r="12" spans="1:133" s="64" customFormat="1" ht="15" hidden="1" customHeight="1" x14ac:dyDescent="0.2">
      <c r="A12" s="66">
        <v>1</v>
      </c>
      <c r="B12" s="66">
        <v>2</v>
      </c>
      <c r="C12" s="66">
        <v>3</v>
      </c>
      <c r="D12" s="66">
        <v>4</v>
      </c>
      <c r="E12" s="66">
        <v>5</v>
      </c>
      <c r="F12" s="66">
        <v>13</v>
      </c>
      <c r="G12" s="66">
        <v>14</v>
      </c>
      <c r="H12" s="66">
        <v>15</v>
      </c>
      <c r="I12" s="66">
        <v>16</v>
      </c>
      <c r="J12" s="66">
        <v>17</v>
      </c>
      <c r="K12" s="66">
        <v>18</v>
      </c>
      <c r="L12" s="66">
        <v>16</v>
      </c>
      <c r="M12" s="66">
        <v>17</v>
      </c>
      <c r="N12" s="66">
        <v>18</v>
      </c>
      <c r="O12" s="66">
        <v>16</v>
      </c>
      <c r="P12" s="66">
        <v>17</v>
      </c>
      <c r="Q12" s="66">
        <v>18</v>
      </c>
      <c r="R12" s="66">
        <v>16</v>
      </c>
      <c r="S12" s="66"/>
      <c r="T12" s="66">
        <v>17</v>
      </c>
      <c r="U12" s="66"/>
      <c r="V12" s="66">
        <v>18</v>
      </c>
      <c r="W12" s="66">
        <v>16</v>
      </c>
      <c r="X12" s="66"/>
      <c r="Y12" s="66"/>
      <c r="Z12" s="66">
        <v>17</v>
      </c>
      <c r="AA12" s="66">
        <v>18</v>
      </c>
      <c r="AB12" s="66">
        <v>16</v>
      </c>
      <c r="AC12" s="66"/>
      <c r="AD12" s="66"/>
      <c r="AE12" s="66">
        <v>17</v>
      </c>
      <c r="AF12" s="66">
        <v>18</v>
      </c>
      <c r="AG12" s="66">
        <v>16</v>
      </c>
      <c r="AH12" s="66">
        <v>17</v>
      </c>
      <c r="AI12" s="66">
        <v>18</v>
      </c>
      <c r="AJ12" s="66">
        <v>16</v>
      </c>
      <c r="AK12" s="66">
        <v>17</v>
      </c>
      <c r="AL12" s="66">
        <v>18</v>
      </c>
      <c r="AM12" s="66">
        <v>19</v>
      </c>
      <c r="AN12" s="66">
        <v>20</v>
      </c>
      <c r="AO12" s="66">
        <v>21</v>
      </c>
      <c r="AP12" s="66">
        <v>19</v>
      </c>
      <c r="AQ12" s="66">
        <v>20</v>
      </c>
      <c r="AR12" s="66">
        <v>21</v>
      </c>
      <c r="AS12" s="66">
        <v>23</v>
      </c>
      <c r="AT12" s="66">
        <v>24</v>
      </c>
      <c r="AU12" s="66">
        <v>25</v>
      </c>
      <c r="AV12" s="66"/>
      <c r="AW12" s="66"/>
      <c r="AX12" s="66"/>
      <c r="AY12" s="66"/>
      <c r="AZ12" s="66"/>
      <c r="BA12" s="66"/>
      <c r="BB12" s="66"/>
      <c r="BC12" s="66"/>
      <c r="BD12" s="66"/>
      <c r="BE12" s="66">
        <v>87</v>
      </c>
      <c r="BF12" s="66">
        <v>88</v>
      </c>
      <c r="BG12" s="66">
        <v>89</v>
      </c>
      <c r="BH12" s="66">
        <v>96</v>
      </c>
      <c r="BI12" s="66">
        <v>97</v>
      </c>
      <c r="BJ12" s="66">
        <v>98</v>
      </c>
      <c r="BK12" s="66">
        <v>99</v>
      </c>
      <c r="BL12" s="66">
        <v>96</v>
      </c>
      <c r="BM12" s="66">
        <v>97</v>
      </c>
      <c r="BN12" s="66">
        <v>98</v>
      </c>
      <c r="BO12" s="66">
        <v>99</v>
      </c>
      <c r="BP12" s="58"/>
      <c r="BQ12" s="58"/>
      <c r="BR12" s="58"/>
      <c r="BS12" s="58"/>
      <c r="BT12" s="58"/>
      <c r="BU12" s="58"/>
      <c r="BV12" s="58"/>
      <c r="BW12" s="58"/>
      <c r="BX12" s="58"/>
      <c r="BY12" s="756"/>
      <c r="BZ12" s="756"/>
      <c r="CA12" s="756"/>
      <c r="CB12" s="58"/>
      <c r="CC12" s="58"/>
      <c r="CD12" s="58"/>
      <c r="CE12" s="58"/>
      <c r="CF12" s="58"/>
      <c r="CG12" s="58"/>
      <c r="CH12" s="644"/>
      <c r="CI12" s="644"/>
      <c r="CJ12" s="644"/>
      <c r="CK12" s="644"/>
      <c r="CL12" s="644"/>
      <c r="CM12" s="644"/>
      <c r="CP12" s="151">
        <v>1</v>
      </c>
      <c r="CQ12" s="33"/>
      <c r="CS12" s="66">
        <v>150</v>
      </c>
      <c r="CT12" s="66">
        <v>150</v>
      </c>
      <c r="CU12" s="66">
        <v>150</v>
      </c>
      <c r="CV12" s="66">
        <v>150</v>
      </c>
      <c r="CW12" s="66">
        <v>150</v>
      </c>
      <c r="CX12" s="66">
        <v>150</v>
      </c>
      <c r="CY12" s="66">
        <v>150</v>
      </c>
      <c r="CZ12" s="66">
        <v>150</v>
      </c>
      <c r="DA12" s="66">
        <v>150</v>
      </c>
      <c r="DB12" s="66">
        <v>150</v>
      </c>
      <c r="DC12" s="66">
        <v>150</v>
      </c>
      <c r="DD12" s="66">
        <v>150</v>
      </c>
      <c r="DE12" s="66">
        <v>150</v>
      </c>
      <c r="DF12" s="66">
        <v>150</v>
      </c>
      <c r="DG12" s="66">
        <v>150</v>
      </c>
      <c r="DH12" s="66">
        <v>150</v>
      </c>
      <c r="DI12" s="66">
        <v>150</v>
      </c>
      <c r="DJ12" s="66">
        <v>150</v>
      </c>
      <c r="DK12" s="66">
        <v>150</v>
      </c>
      <c r="DL12" s="66">
        <v>150</v>
      </c>
      <c r="DM12" s="66">
        <v>150</v>
      </c>
      <c r="DN12" s="66">
        <v>150</v>
      </c>
      <c r="DO12" s="66">
        <v>150</v>
      </c>
      <c r="DP12" s="66">
        <v>150</v>
      </c>
      <c r="DQ12" s="66">
        <v>150</v>
      </c>
      <c r="DR12" s="33"/>
      <c r="EC12" s="146"/>
    </row>
    <row r="13" spans="1:133" s="33" customFormat="1" ht="49.5" hidden="1" customHeight="1" x14ac:dyDescent="0.2">
      <c r="A13" s="59"/>
      <c r="B13" s="59"/>
      <c r="C13" s="59"/>
      <c r="D13" s="59"/>
      <c r="E13" s="59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63"/>
      <c r="AL13" s="63"/>
      <c r="AM13" s="63"/>
      <c r="AN13" s="63"/>
      <c r="AO13" s="63"/>
      <c r="AP13" s="63"/>
      <c r="AQ13" s="63"/>
      <c r="AR13" s="63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109"/>
      <c r="CI13" s="109"/>
      <c r="CJ13" s="109"/>
      <c r="CK13" s="109"/>
      <c r="CL13" s="109"/>
      <c r="CM13" s="109"/>
      <c r="CP13" s="151">
        <v>2</v>
      </c>
      <c r="DS13" s="146"/>
      <c r="DT13" s="146"/>
      <c r="DU13" s="146"/>
      <c r="DV13" s="146"/>
      <c r="DW13" s="146"/>
      <c r="DX13" s="146"/>
      <c r="DY13" s="146"/>
      <c r="DZ13" s="146"/>
      <c r="EC13" s="146"/>
    </row>
    <row r="14" spans="1:133" s="64" customFormat="1" ht="49.5" hidden="1" customHeight="1" x14ac:dyDescent="0.2">
      <c r="A14" s="58"/>
      <c r="B14" s="58"/>
      <c r="C14" s="58"/>
      <c r="D14" s="58"/>
      <c r="E14" s="58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756"/>
      <c r="BZ14" s="756"/>
      <c r="CA14" s="756"/>
      <c r="CB14" s="58"/>
      <c r="CC14" s="58"/>
      <c r="CD14" s="58"/>
      <c r="CE14" s="58"/>
      <c r="CF14" s="58"/>
      <c r="CG14" s="58"/>
      <c r="CH14" s="644"/>
      <c r="CI14" s="644"/>
      <c r="CJ14" s="644"/>
      <c r="CK14" s="644"/>
      <c r="CL14" s="644"/>
      <c r="CM14" s="644"/>
      <c r="CP14" s="151">
        <v>3</v>
      </c>
      <c r="CQ14" s="33"/>
      <c r="DR14" s="33"/>
      <c r="DS14" s="146"/>
      <c r="DT14" s="146"/>
      <c r="DU14" s="146"/>
      <c r="DV14" s="146"/>
      <c r="DW14" s="146"/>
      <c r="DX14" s="146"/>
      <c r="DY14" s="146"/>
      <c r="DZ14" s="146"/>
      <c r="EC14" s="146"/>
    </row>
    <row r="15" spans="1:133" s="70" customFormat="1" ht="15" hidden="1" x14ac:dyDescent="0.2">
      <c r="A15" s="67" t="s">
        <v>8</v>
      </c>
      <c r="B15" s="67" t="s">
        <v>35</v>
      </c>
      <c r="C15" s="67" t="s">
        <v>41</v>
      </c>
      <c r="D15" s="67"/>
      <c r="E15" s="67"/>
      <c r="F15" s="1731"/>
      <c r="G15" s="1731"/>
      <c r="H15" s="69">
        <v>1</v>
      </c>
      <c r="I15" s="1731"/>
      <c r="J15" s="1731"/>
      <c r="K15" s="69">
        <v>1</v>
      </c>
      <c r="L15" s="1731"/>
      <c r="M15" s="1731"/>
      <c r="N15" s="69">
        <v>1</v>
      </c>
      <c r="O15" s="1731"/>
      <c r="P15" s="1731"/>
      <c r="Q15" s="69">
        <v>1</v>
      </c>
      <c r="R15" s="1731"/>
      <c r="S15" s="1731"/>
      <c r="T15" s="1731"/>
      <c r="U15" s="1731"/>
      <c r="V15" s="69">
        <v>1</v>
      </c>
      <c r="W15" s="1731"/>
      <c r="X15" s="1731"/>
      <c r="Y15" s="1731"/>
      <c r="Z15" s="1731"/>
      <c r="AA15" s="69">
        <v>1</v>
      </c>
      <c r="AB15" s="1731"/>
      <c r="AC15" s="1731"/>
      <c r="AD15" s="1731"/>
      <c r="AE15" s="1731"/>
      <c r="AF15" s="69">
        <v>1</v>
      </c>
      <c r="AG15" s="1731"/>
      <c r="AH15" s="1731"/>
      <c r="AI15" s="69">
        <v>1</v>
      </c>
      <c r="AJ15" s="1731"/>
      <c r="AK15" s="1731"/>
      <c r="AL15" s="69">
        <v>1</v>
      </c>
      <c r="AM15" s="1731"/>
      <c r="AN15" s="1731"/>
      <c r="AO15" s="69">
        <v>1</v>
      </c>
      <c r="AP15" s="1731"/>
      <c r="AQ15" s="1731"/>
      <c r="AR15" s="69">
        <v>1</v>
      </c>
      <c r="AS15" s="60"/>
      <c r="AT15" s="60"/>
      <c r="AU15" s="67">
        <v>1</v>
      </c>
      <c r="AV15" s="60"/>
      <c r="AW15" s="60"/>
      <c r="AX15" s="67">
        <v>1</v>
      </c>
      <c r="AY15" s="1735"/>
      <c r="AZ15" s="1736"/>
      <c r="BA15" s="67">
        <v>1</v>
      </c>
      <c r="BB15" s="1735"/>
      <c r="BC15" s="1736"/>
      <c r="BD15" s="67">
        <v>1</v>
      </c>
      <c r="BE15" s="60"/>
      <c r="BF15" s="60"/>
      <c r="BG15" s="67">
        <v>1</v>
      </c>
      <c r="BH15" s="60"/>
      <c r="BI15" s="60"/>
      <c r="BJ15" s="60"/>
      <c r="BK15" s="67">
        <v>1</v>
      </c>
      <c r="BL15" s="60"/>
      <c r="BM15" s="60"/>
      <c r="BN15" s="60"/>
      <c r="BO15" s="67">
        <v>1</v>
      </c>
      <c r="BP15" s="60"/>
      <c r="BQ15" s="60"/>
      <c r="BR15" s="67">
        <v>1</v>
      </c>
      <c r="BS15" s="60"/>
      <c r="BT15" s="60"/>
      <c r="BU15" s="67">
        <v>1</v>
      </c>
      <c r="BV15" s="60"/>
      <c r="BW15" s="60"/>
      <c r="BX15" s="67">
        <v>1</v>
      </c>
      <c r="BY15" s="60"/>
      <c r="BZ15" s="60"/>
      <c r="CA15" s="67">
        <v>1</v>
      </c>
      <c r="CB15" s="60"/>
      <c r="CC15" s="60"/>
      <c r="CD15" s="67">
        <v>1</v>
      </c>
      <c r="CE15" s="60"/>
      <c r="CF15" s="60"/>
      <c r="CG15" s="67">
        <v>1</v>
      </c>
      <c r="CH15" s="60"/>
      <c r="CI15" s="60"/>
      <c r="CJ15" s="67">
        <v>1</v>
      </c>
      <c r="CK15" s="60"/>
      <c r="CL15" s="60"/>
      <c r="CM15" s="67">
        <v>1</v>
      </c>
      <c r="CP15" s="151">
        <v>5</v>
      </c>
      <c r="CQ15" s="33"/>
      <c r="DR15" s="33"/>
      <c r="DS15" s="146"/>
      <c r="DT15" s="146"/>
      <c r="DU15" s="146"/>
      <c r="DV15" s="146"/>
      <c r="DW15" s="146"/>
      <c r="DX15" s="146"/>
      <c r="DY15" s="146"/>
      <c r="DZ15" s="146"/>
      <c r="EC15" s="146"/>
    </row>
    <row r="16" spans="1:133" s="76" customFormat="1" hidden="1" x14ac:dyDescent="0.2">
      <c r="A16" s="71" t="s">
        <v>36</v>
      </c>
      <c r="B16" s="71" t="s">
        <v>35</v>
      </c>
      <c r="C16" s="71" t="s">
        <v>42</v>
      </c>
      <c r="D16" s="71"/>
      <c r="E16" s="71"/>
      <c r="F16" s="163">
        <v>1</v>
      </c>
      <c r="G16" s="163">
        <v>1</v>
      </c>
      <c r="H16" s="1654">
        <v>100</v>
      </c>
      <c r="I16" s="163">
        <v>1</v>
      </c>
      <c r="J16" s="163">
        <v>1</v>
      </c>
      <c r="K16" s="1654">
        <v>100</v>
      </c>
      <c r="L16" s="163">
        <v>1</v>
      </c>
      <c r="M16" s="163">
        <v>1</v>
      </c>
      <c r="N16" s="1654">
        <v>100</v>
      </c>
      <c r="O16" s="163">
        <v>1</v>
      </c>
      <c r="P16" s="163">
        <v>1</v>
      </c>
      <c r="Q16" s="1654">
        <v>65</v>
      </c>
      <c r="R16" s="163">
        <v>1</v>
      </c>
      <c r="S16" s="163">
        <v>1</v>
      </c>
      <c r="T16" s="163">
        <v>1</v>
      </c>
      <c r="U16" s="163">
        <v>1</v>
      </c>
      <c r="V16" s="1654">
        <v>70</v>
      </c>
      <c r="W16" s="163">
        <v>1</v>
      </c>
      <c r="X16" s="163">
        <v>1</v>
      </c>
      <c r="Y16" s="163">
        <v>1</v>
      </c>
      <c r="Z16" s="163">
        <v>1</v>
      </c>
      <c r="AA16" s="1732">
        <v>96.85</v>
      </c>
      <c r="AB16" s="163">
        <v>1</v>
      </c>
      <c r="AC16" s="163">
        <v>1</v>
      </c>
      <c r="AD16" s="163">
        <v>1</v>
      </c>
      <c r="AE16" s="163">
        <v>1</v>
      </c>
      <c r="AF16" s="1654">
        <v>99</v>
      </c>
      <c r="AG16" s="163">
        <v>1</v>
      </c>
      <c r="AH16" s="163">
        <v>1</v>
      </c>
      <c r="AI16" s="1654">
        <v>100</v>
      </c>
      <c r="AJ16" s="163">
        <v>1</v>
      </c>
      <c r="AK16" s="163">
        <v>1</v>
      </c>
      <c r="AL16" s="1654">
        <v>100</v>
      </c>
      <c r="AM16" s="163">
        <v>1</v>
      </c>
      <c r="AN16" s="163">
        <v>1</v>
      </c>
      <c r="AO16" s="1654">
        <v>100</v>
      </c>
      <c r="AP16" s="163">
        <v>1</v>
      </c>
      <c r="AQ16" s="163">
        <v>1</v>
      </c>
      <c r="AR16" s="1654">
        <v>100</v>
      </c>
      <c r="AS16" s="163">
        <v>1</v>
      </c>
      <c r="AT16" s="163">
        <v>1</v>
      </c>
      <c r="AU16" s="1653">
        <v>100</v>
      </c>
      <c r="AV16" s="163">
        <v>1</v>
      </c>
      <c r="AW16" s="163">
        <v>1</v>
      </c>
      <c r="AX16" s="1653">
        <v>100</v>
      </c>
      <c r="AY16" s="163">
        <v>1</v>
      </c>
      <c r="AZ16" s="163">
        <v>1</v>
      </c>
      <c r="BA16" s="1653">
        <v>100</v>
      </c>
      <c r="BB16" s="163">
        <v>1</v>
      </c>
      <c r="BC16" s="163">
        <v>1</v>
      </c>
      <c r="BD16" s="1653">
        <v>100</v>
      </c>
      <c r="BE16" s="163">
        <v>1</v>
      </c>
      <c r="BF16" s="163">
        <v>1</v>
      </c>
      <c r="BG16" s="1653">
        <v>100</v>
      </c>
      <c r="BH16" s="163">
        <v>1</v>
      </c>
      <c r="BI16" s="163">
        <v>1</v>
      </c>
      <c r="BJ16" s="163">
        <v>98</v>
      </c>
      <c r="BK16" s="1653">
        <v>100</v>
      </c>
      <c r="BL16" s="163">
        <v>1</v>
      </c>
      <c r="BM16" s="163">
        <v>1</v>
      </c>
      <c r="BN16" s="163">
        <v>98</v>
      </c>
      <c r="BO16" s="1653">
        <v>100</v>
      </c>
      <c r="BP16" s="163">
        <v>1</v>
      </c>
      <c r="BQ16" s="163">
        <v>1</v>
      </c>
      <c r="BR16" s="1653">
        <v>100</v>
      </c>
      <c r="BS16" s="163">
        <v>1</v>
      </c>
      <c r="BT16" s="163">
        <v>1</v>
      </c>
      <c r="BU16" s="1653">
        <v>100</v>
      </c>
      <c r="BV16" s="163">
        <v>1</v>
      </c>
      <c r="BW16" s="163">
        <v>1</v>
      </c>
      <c r="BX16" s="1653">
        <v>100</v>
      </c>
      <c r="BY16" s="163">
        <v>1</v>
      </c>
      <c r="BZ16" s="163">
        <v>1</v>
      </c>
      <c r="CA16" s="1653">
        <f>IF(ТИТУЛ!B22=2,50,100)</f>
        <v>50</v>
      </c>
      <c r="CB16" s="163">
        <v>1</v>
      </c>
      <c r="CC16" s="163">
        <v>1</v>
      </c>
      <c r="CD16" s="1653">
        <v>83</v>
      </c>
      <c r="CE16" s="163">
        <v>1</v>
      </c>
      <c r="CF16" s="163">
        <v>1</v>
      </c>
      <c r="CG16" s="1653">
        <v>32</v>
      </c>
      <c r="CH16" s="163">
        <v>1</v>
      </c>
      <c r="CI16" s="163">
        <v>1</v>
      </c>
      <c r="CJ16" s="1653">
        <v>100</v>
      </c>
      <c r="CK16" s="163">
        <v>1</v>
      </c>
      <c r="CL16" s="163">
        <v>1</v>
      </c>
      <c r="CM16" s="1653">
        <v>100</v>
      </c>
      <c r="CP16" s="151">
        <v>6</v>
      </c>
      <c r="CQ16" s="33"/>
      <c r="DR16" s="33"/>
      <c r="DS16" s="146"/>
      <c r="DT16" s="146"/>
      <c r="DU16" s="146"/>
      <c r="DV16" s="146"/>
      <c r="DW16" s="146"/>
      <c r="DX16" s="146"/>
      <c r="DY16" s="146"/>
      <c r="DZ16" s="146"/>
      <c r="EC16" s="146"/>
    </row>
    <row r="17" spans="1:135" s="76" customFormat="1" hidden="1" x14ac:dyDescent="0.2">
      <c r="A17" s="71" t="s">
        <v>36</v>
      </c>
      <c r="B17" s="71" t="s">
        <v>35</v>
      </c>
      <c r="C17" s="71" t="s">
        <v>43</v>
      </c>
      <c r="D17" s="77"/>
      <c r="E17" s="77"/>
      <c r="F17" s="1652">
        <v>0</v>
      </c>
      <c r="G17" s="1652">
        <v>0</v>
      </c>
      <c r="H17" s="1657">
        <v>0</v>
      </c>
      <c r="I17" s="1652">
        <v>0</v>
      </c>
      <c r="J17" s="1652">
        <v>0</v>
      </c>
      <c r="K17" s="1657">
        <v>0</v>
      </c>
      <c r="L17" s="1652">
        <v>0</v>
      </c>
      <c r="M17" s="1652">
        <v>0</v>
      </c>
      <c r="N17" s="1657">
        <v>0</v>
      </c>
      <c r="O17" s="1652">
        <v>0</v>
      </c>
      <c r="P17" s="1652">
        <v>0</v>
      </c>
      <c r="Q17" s="1657">
        <v>65</v>
      </c>
      <c r="R17" s="1652">
        <v>0</v>
      </c>
      <c r="S17" s="1652">
        <v>0</v>
      </c>
      <c r="T17" s="1652">
        <v>0</v>
      </c>
      <c r="U17" s="1652">
        <v>0</v>
      </c>
      <c r="V17" s="1657">
        <v>50</v>
      </c>
      <c r="W17" s="1652">
        <v>0</v>
      </c>
      <c r="X17" s="1652">
        <v>0</v>
      </c>
      <c r="Y17" s="1652">
        <v>0</v>
      </c>
      <c r="Z17" s="1652">
        <v>0</v>
      </c>
      <c r="AA17" s="1657">
        <v>75</v>
      </c>
      <c r="AB17" s="1652">
        <v>0</v>
      </c>
      <c r="AC17" s="1652">
        <v>0</v>
      </c>
      <c r="AD17" s="1652">
        <v>0</v>
      </c>
      <c r="AE17" s="1652">
        <v>0</v>
      </c>
      <c r="AF17" s="1657">
        <v>99</v>
      </c>
      <c r="AG17" s="1652">
        <v>0</v>
      </c>
      <c r="AH17" s="1652">
        <v>0</v>
      </c>
      <c r="AI17" s="1657">
        <v>100</v>
      </c>
      <c r="AJ17" s="1652">
        <v>0</v>
      </c>
      <c r="AK17" s="1652">
        <v>0</v>
      </c>
      <c r="AL17" s="1657">
        <f>97-0.01</f>
        <v>96.99</v>
      </c>
      <c r="AM17" s="1652">
        <v>0</v>
      </c>
      <c r="AN17" s="1652">
        <v>0</v>
      </c>
      <c r="AO17" s="1657">
        <v>90</v>
      </c>
      <c r="AP17" s="1652">
        <v>0</v>
      </c>
      <c r="AQ17" s="1652">
        <v>0</v>
      </c>
      <c r="AR17" s="1657">
        <v>95</v>
      </c>
      <c r="AS17" s="1652">
        <v>0</v>
      </c>
      <c r="AT17" s="1652">
        <v>0</v>
      </c>
      <c r="AU17" s="1656">
        <v>77</v>
      </c>
      <c r="AV17" s="1652">
        <v>0</v>
      </c>
      <c r="AW17" s="1652">
        <v>0</v>
      </c>
      <c r="AX17" s="1656">
        <v>0</v>
      </c>
      <c r="AY17" s="163">
        <v>0</v>
      </c>
      <c r="AZ17" s="163">
        <v>0</v>
      </c>
      <c r="BA17" s="1658">
        <v>0</v>
      </c>
      <c r="BB17" s="163">
        <v>0</v>
      </c>
      <c r="BC17" s="163">
        <v>0</v>
      </c>
      <c r="BD17" s="1658">
        <v>0</v>
      </c>
      <c r="BE17" s="1652">
        <v>0</v>
      </c>
      <c r="BF17" s="1652">
        <v>0</v>
      </c>
      <c r="BG17" s="1658">
        <v>0</v>
      </c>
      <c r="BH17" s="1652">
        <v>0</v>
      </c>
      <c r="BI17" s="1652">
        <v>0</v>
      </c>
      <c r="BJ17" s="1652">
        <v>0</v>
      </c>
      <c r="BK17" s="1658">
        <v>0</v>
      </c>
      <c r="BL17" s="163">
        <v>0</v>
      </c>
      <c r="BM17" s="163">
        <v>0</v>
      </c>
      <c r="BN17" s="163">
        <v>0</v>
      </c>
      <c r="BO17" s="1658">
        <v>0</v>
      </c>
      <c r="BP17" s="163">
        <v>0</v>
      </c>
      <c r="BQ17" s="163">
        <v>0</v>
      </c>
      <c r="BR17" s="1658">
        <v>0</v>
      </c>
      <c r="BS17" s="163">
        <v>0</v>
      </c>
      <c r="BT17" s="163">
        <v>0</v>
      </c>
      <c r="BU17" s="1658">
        <v>0</v>
      </c>
      <c r="BV17" s="163">
        <v>0</v>
      </c>
      <c r="BW17" s="163">
        <v>0</v>
      </c>
      <c r="BX17" s="1658">
        <v>0</v>
      </c>
      <c r="BY17" s="163">
        <v>0</v>
      </c>
      <c r="BZ17" s="163">
        <v>0</v>
      </c>
      <c r="CA17" s="1658">
        <v>0</v>
      </c>
      <c r="CB17" s="163">
        <v>0</v>
      </c>
      <c r="CC17" s="163">
        <v>0</v>
      </c>
      <c r="CD17" s="1658">
        <v>70</v>
      </c>
      <c r="CE17" s="163">
        <v>0</v>
      </c>
      <c r="CF17" s="163">
        <v>0</v>
      </c>
      <c r="CG17" s="1658">
        <v>30</v>
      </c>
      <c r="CH17" s="163">
        <v>0</v>
      </c>
      <c r="CI17" s="163">
        <v>0</v>
      </c>
      <c r="CJ17" s="1658">
        <v>0</v>
      </c>
      <c r="CK17" s="163">
        <v>0</v>
      </c>
      <c r="CL17" s="163">
        <v>0</v>
      </c>
      <c r="CM17" s="1658">
        <v>0</v>
      </c>
      <c r="CP17" s="151">
        <v>7</v>
      </c>
      <c r="CQ17" s="33"/>
      <c r="DR17" s="33"/>
      <c r="DS17" s="146"/>
      <c r="DT17" s="146"/>
      <c r="DU17" s="146"/>
      <c r="DV17" s="146"/>
      <c r="DW17" s="146"/>
      <c r="DX17" s="146"/>
      <c r="DY17" s="146"/>
      <c r="DZ17" s="146"/>
      <c r="EC17" s="146"/>
    </row>
    <row r="18" spans="1:135" s="82" customFormat="1" ht="16.5" hidden="1" customHeight="1" x14ac:dyDescent="0.2">
      <c r="A18" s="80"/>
      <c r="B18" s="81"/>
      <c r="F18" s="84"/>
      <c r="G18" s="84"/>
      <c r="H18" s="1704">
        <f>IF(H$19&gt;H$16,100,H$19/H$16*100)</f>
        <v>0</v>
      </c>
      <c r="I18" s="84"/>
      <c r="J18" s="84"/>
      <c r="K18" s="1704">
        <f>IF(K$19&gt;K$16,100,K$19/K$16*100)</f>
        <v>100</v>
      </c>
      <c r="L18" s="84"/>
      <c r="M18" s="84"/>
      <c r="N18" s="1704">
        <f>IF(N$19&gt;N$16,100,N$19/N$16*100)</f>
        <v>100</v>
      </c>
      <c r="O18" s="84"/>
      <c r="P18" s="84"/>
      <c r="Q18" s="1704">
        <f>IF(Q$19&gt;Q$16,100,Q$19/Q$16*100)</f>
        <v>0</v>
      </c>
      <c r="R18" s="84"/>
      <c r="S18" s="84"/>
      <c r="T18" s="84"/>
      <c r="U18" s="84"/>
      <c r="V18" s="1704">
        <f>IF(V$19&gt;V$16,100,V$19/V$16*100)</f>
        <v>100</v>
      </c>
      <c r="W18" s="84"/>
      <c r="X18" s="84"/>
      <c r="Y18" s="84"/>
      <c r="Z18" s="84"/>
      <c r="AA18" s="1704">
        <f>IF(AA$19&gt;AA$16,100,AA$19/AA$16*100)</f>
        <v>100</v>
      </c>
      <c r="AB18" s="84"/>
      <c r="AC18" s="84"/>
      <c r="AD18" s="84"/>
      <c r="AE18" s="84"/>
      <c r="AF18" s="1704">
        <f>IF(AF$19&gt;AF$16,100,AF$19/AF$16*100)</f>
        <v>100</v>
      </c>
      <c r="AG18" s="84"/>
      <c r="AH18" s="84"/>
      <c r="AI18" s="1704">
        <f>IF(AI$19&gt;AI$16,100,AI$19/AI$16*100)</f>
        <v>100</v>
      </c>
      <c r="AJ18" s="84"/>
      <c r="AK18" s="84"/>
      <c r="AL18" s="1704">
        <f>IF(AL$19&gt;AL$16,100,AL$19/AL$16*100)</f>
        <v>100</v>
      </c>
      <c r="AM18" s="85"/>
      <c r="AN18" s="85"/>
      <c r="AO18" s="1704">
        <f>IF(AO$19&gt;AO$16,100,AO$19/AO$16*100)</f>
        <v>100</v>
      </c>
      <c r="AP18" s="84"/>
      <c r="AQ18" s="84"/>
      <c r="AR18" s="1704">
        <f>IF(AR$19&gt;AR$16,100,AR$19/AR$16*100)</f>
        <v>100</v>
      </c>
      <c r="AS18" s="81"/>
      <c r="AT18" s="81"/>
      <c r="AU18" s="1704">
        <f>IF(AU$19&gt;AU$16,100,AU$19/AU$16*100)</f>
        <v>100</v>
      </c>
      <c r="AV18" s="81"/>
      <c r="AW18" s="81"/>
      <c r="AX18" s="1704">
        <f>IF(AX$19&gt;AX$16,100,AX$19/AX$16*100)</f>
        <v>100</v>
      </c>
      <c r="AY18" s="81"/>
      <c r="AZ18" s="81"/>
      <c r="BA18" s="1704">
        <f>IF(BA$19&gt;BA$16,100,BA$19/BA$16*100)</f>
        <v>0</v>
      </c>
      <c r="BB18" s="81"/>
      <c r="BC18" s="81"/>
      <c r="BD18" s="1704">
        <f>IF(BD$19&gt;BD$16,100,BD$19/BD$16*100)</f>
        <v>0</v>
      </c>
      <c r="BE18" s="81"/>
      <c r="BF18" s="81"/>
      <c r="BG18" s="1704">
        <f>IF(BG$19&gt;BG$16,100,BG$19/BG$16*100)</f>
        <v>100</v>
      </c>
      <c r="BH18" s="81"/>
      <c r="BI18" s="81"/>
      <c r="BJ18" s="81"/>
      <c r="BK18" s="1704">
        <f>IF(BK$19&gt;BK$16,100,BK$19/BK$16*100)</f>
        <v>100</v>
      </c>
      <c r="BL18" s="81"/>
      <c r="BM18" s="81"/>
      <c r="BN18" s="81"/>
      <c r="BO18" s="1704">
        <f>IF(BO$19&gt;BO$16,100,BO$19/BO$16*100)</f>
        <v>100</v>
      </c>
      <c r="BP18" s="1761"/>
      <c r="BQ18" s="1761"/>
      <c r="BR18" s="1762" t="e">
        <f>IF(BR$19&gt;BR$16,100,BR$19/BR$16*100)</f>
        <v>#DIV/0!</v>
      </c>
      <c r="BS18" s="1762"/>
      <c r="BT18" s="1762"/>
      <c r="BU18" s="1704">
        <f>IF(BU$19&gt;BU$16,100,BU$19/BU$16*100)</f>
        <v>0</v>
      </c>
      <c r="BV18" s="1762"/>
      <c r="BW18" s="1762"/>
      <c r="BX18" s="1704">
        <f>IF(BX$19&gt;BX$16,100,BX$19/BX$16*100)</f>
        <v>0</v>
      </c>
      <c r="BY18" s="1762"/>
      <c r="BZ18" s="1762"/>
      <c r="CA18" s="1704">
        <f>IF(CA$19&gt;CA$16,100,CA$19/CA$16*100)</f>
        <v>0</v>
      </c>
      <c r="CB18" s="1761"/>
      <c r="CC18" s="1761"/>
      <c r="CD18" s="1762">
        <f>IF(CD$19&gt;CD$16,100,CD$19/CD$16*100)</f>
        <v>0</v>
      </c>
      <c r="CE18" s="1762"/>
      <c r="CF18" s="1762"/>
      <c r="CG18" s="1704">
        <f>IF(CG$19&gt;CG$16,100,CG$19/CG$16*100)</f>
        <v>100</v>
      </c>
      <c r="CH18" s="1762"/>
      <c r="CI18" s="1762"/>
      <c r="CJ18" s="1704">
        <f>IF(CJ$19&gt;CJ$16,100,CJ$19/CJ$16*100)</f>
        <v>0</v>
      </c>
      <c r="CK18" s="1762"/>
      <c r="CL18" s="1762"/>
      <c r="CM18" s="1704">
        <f>IF(CM$19&gt;CM$16,100,CM$19/CM$16*100)</f>
        <v>0</v>
      </c>
      <c r="CP18" s="151">
        <v>8</v>
      </c>
      <c r="CQ18" s="87"/>
      <c r="DR18" s="87"/>
      <c r="DS18" s="148"/>
      <c r="DT18" s="148"/>
      <c r="DU18" s="148"/>
      <c r="DV18" s="148"/>
      <c r="DW18" s="148"/>
      <c r="DX18" s="148"/>
      <c r="DY18" s="148"/>
      <c r="DZ18" s="148"/>
      <c r="EC18" s="148"/>
    </row>
    <row r="19" spans="1:135" s="92" customFormat="1" ht="18" x14ac:dyDescent="0.25">
      <c r="A19" s="88" t="s">
        <v>90</v>
      </c>
      <c r="B19" s="97" t="s">
        <v>176</v>
      </c>
      <c r="C19" s="158">
        <f>SUM(C$20:C$103)</f>
        <v>0</v>
      </c>
      <c r="D19" s="158"/>
      <c r="E19" s="158" t="s">
        <v>16</v>
      </c>
      <c r="F19" s="89">
        <f>SUM(F$20:F$101)</f>
        <v>0</v>
      </c>
      <c r="G19" s="89">
        <f>SUM(G$20:G$101)</f>
        <v>16</v>
      </c>
      <c r="H19" s="90">
        <f>IF(G19=0,"нет",F19/G19*100)</f>
        <v>0</v>
      </c>
      <c r="I19" s="89">
        <f>SUM(I$20:I$101)</f>
        <v>0</v>
      </c>
      <c r="J19" s="89">
        <f>SUM(J$20:J$101)</f>
        <v>0</v>
      </c>
      <c r="K19" s="90" t="str">
        <f>IF(J19=0,"нет",I19/J19*100)</f>
        <v>нет</v>
      </c>
      <c r="L19" s="89">
        <f>SUM(L$20:L$101)</f>
        <v>0</v>
      </c>
      <c r="M19" s="89">
        <f>SUM(M$20:M$101)</f>
        <v>0</v>
      </c>
      <c r="N19" s="90" t="str">
        <f>IF(M19=0,"нет",L19/M19*100)</f>
        <v>нет</v>
      </c>
      <c r="O19" s="388"/>
      <c r="P19" s="389">
        <v>100</v>
      </c>
      <c r="Q19" s="90">
        <f>IF(P19=0,"нет",O19/P19*100)</f>
        <v>0</v>
      </c>
      <c r="R19" s="89">
        <f>SUM(R$20:R$101)</f>
        <v>0</v>
      </c>
      <c r="S19" s="758">
        <f t="shared" ref="S19:U19" si="0">SUM(S$20:S$101)</f>
        <v>0</v>
      </c>
      <c r="T19" s="758">
        <f t="shared" si="0"/>
        <v>0</v>
      </c>
      <c r="U19" s="758">
        <f t="shared" si="0"/>
        <v>0</v>
      </c>
      <c r="V19" s="758" t="str">
        <f>IF(R19=0,"нет",R19/(S19-T19+U19)*100)</f>
        <v>нет</v>
      </c>
      <c r="W19" s="89">
        <f>SUM(W$20:W$101)</f>
        <v>0</v>
      </c>
      <c r="X19" s="89">
        <f>SUM(X$20:X$101)</f>
        <v>0</v>
      </c>
      <c r="Y19" s="89">
        <f>SUM(Y$20:Y$101)</f>
        <v>0</v>
      </c>
      <c r="Z19" s="89">
        <f>SUM(Z$20:Z$101)</f>
        <v>0</v>
      </c>
      <c r="AA19" s="90" t="str">
        <f>IF(Z19=0,"нет",SUM(W19:X19,-Y19)/Z19*100)</f>
        <v>нет</v>
      </c>
      <c r="AB19" s="89">
        <f>SUM(AB$20:AB$101)</f>
        <v>0</v>
      </c>
      <c r="AC19" s="89">
        <f>SUM(AC$20:AC$101)</f>
        <v>0</v>
      </c>
      <c r="AD19" s="89">
        <f>SUM(AD$20:AD$101)</f>
        <v>0</v>
      </c>
      <c r="AE19" s="89">
        <f>SUM(AE$20:AE$101)</f>
        <v>0</v>
      </c>
      <c r="AF19" s="90" t="str">
        <f>IF(AE19=0,"нет",SUM(AB19:AC19,-AD19)/AE19*100)</f>
        <v>нет</v>
      </c>
      <c r="AG19" s="89">
        <f>SUM(AG$20:AG$101)</f>
        <v>0</v>
      </c>
      <c r="AH19" s="89">
        <f>SUM(AH$20:AH$101)</f>
        <v>0</v>
      </c>
      <c r="AI19" s="90" t="str">
        <f>IF(AH19=0,"нет",AG19/AH19*100)</f>
        <v>нет</v>
      </c>
      <c r="AJ19" s="89">
        <f>SUM(AJ$20:AJ$101)</f>
        <v>0</v>
      </c>
      <c r="AK19" s="89">
        <f>SUM(AK$20:AK$101)</f>
        <v>0</v>
      </c>
      <c r="AL19" s="90" t="str">
        <f>IF(AK19=0,"нет",AJ19/AK19*100)</f>
        <v>нет</v>
      </c>
      <c r="AM19" s="758">
        <f>SUM(AM$20:AM$101)</f>
        <v>0</v>
      </c>
      <c r="AN19" s="758">
        <f t="array" ref="AN19">ПрофРабота!$C19</f>
        <v>0</v>
      </c>
      <c r="AO19" s="759" t="str">
        <f t="shared" ref="AO19" si="1">IF((AN19&gt;0),AM19/AN19*100,нет)</f>
        <v>нет</v>
      </c>
      <c r="AP19" s="89">
        <f>SUM(AP$20:AP$101)</f>
        <v>0</v>
      </c>
      <c r="AQ19" s="89">
        <f t="array" ref="AQ19">ПрофРабота!$C19</f>
        <v>0</v>
      </c>
      <c r="AR19" s="90" t="str">
        <f t="shared" ref="AR19:AR25" si="2">IF((AQ19&gt;0),AP19/AQ19*100,нет)</f>
        <v>нет</v>
      </c>
      <c r="AS19" s="89">
        <f>SUM(AS$20:AS$101)</f>
        <v>0</v>
      </c>
      <c r="AT19" s="89">
        <f>SUM(AT$20:AT$101)</f>
        <v>0</v>
      </c>
      <c r="AU19" s="90" t="str">
        <f t="shared" ref="AU19:AU27" si="3">IF((AT19&gt;0),AS19/AT19*100,нет)</f>
        <v>нет</v>
      </c>
      <c r="AV19" s="89">
        <f>SUM(AV$20:AV$101)</f>
        <v>0</v>
      </c>
      <c r="AW19" s="89">
        <f>SUM(AW$20:AW$101)</f>
        <v>0</v>
      </c>
      <c r="AX19" s="90" t="str">
        <f t="shared" ref="AX19:AX27" si="4">IF((AW19&gt;0),AV19/AW19*100,нет)</f>
        <v>нет</v>
      </c>
      <c r="AY19" s="1766">
        <f>SUM(AY20:AY27)</f>
        <v>0</v>
      </c>
      <c r="AZ19" s="1766">
        <f t="shared" ref="AZ19" si="5">SUM(AZ20:AZ27)</f>
        <v>1224</v>
      </c>
      <c r="BA19" s="1765">
        <f t="shared" ref="BA19:BA27" si="6">IF(AZ19&gt;0, AY19/AZ19*100, нет)</f>
        <v>0</v>
      </c>
      <c r="BB19" s="1766">
        <f>SUM(BB20:BB27)</f>
        <v>0</v>
      </c>
      <c r="BC19" s="1766">
        <f>SUM(BC20:BC27)</f>
        <v>212</v>
      </c>
      <c r="BD19" s="1765">
        <f t="shared" ref="BD19:BD25" si="7">IF(BC19&gt;0, BB19/BC19*100, нет)</f>
        <v>0</v>
      </c>
      <c r="BE19" s="481">
        <f>SUM(BE$20:BE$101)</f>
        <v>0</v>
      </c>
      <c r="BF19" s="481">
        <f>SUM(BF$20:BF$101)</f>
        <v>0</v>
      </c>
      <c r="BG19" s="90" t="str">
        <f>IF(BF19&lt;&gt;0,BE19/BF19*100,IF(BE19&gt;0,100,нет))</f>
        <v>нет</v>
      </c>
      <c r="BH19" s="481">
        <f>SUM(BH$20:BH$101)</f>
        <v>0</v>
      </c>
      <c r="BI19" s="481">
        <f>SUM(BI$20:BI$101)</f>
        <v>0</v>
      </c>
      <c r="BJ19" s="91" t="str">
        <f>IF($BI19=0,"нет",$BH19/$BI19*100)</f>
        <v>нет</v>
      </c>
      <c r="BK19" s="90" t="str">
        <f>IF($BI19=0,"нет",100-$BH19/$BI19*100)</f>
        <v>нет</v>
      </c>
      <c r="BL19" s="481">
        <f>SUM(BL$20:BL$101)</f>
        <v>0</v>
      </c>
      <c r="BM19" s="481">
        <f>SUM(BM$20:BM$101)</f>
        <v>0</v>
      </c>
      <c r="BN19" s="91" t="str">
        <f t="shared" ref="BN19:BN27" si="8">IF($BM19=0,"нет",$BL19/$BM19*100)</f>
        <v>нет</v>
      </c>
      <c r="BO19" s="90" t="str">
        <f t="shared" ref="BO19:BO27" si="9">IF($BM19=0,"нет",100-$BL19/$BM19*100)</f>
        <v>нет</v>
      </c>
      <c r="BP19" s="481" t="e">
        <f>SUM(BP$20:BP$101)/8</f>
        <v>#DIV/0!</v>
      </c>
      <c r="BQ19" s="541">
        <v>100</v>
      </c>
      <c r="BR19" s="91" t="e">
        <f t="shared" ref="BR19:BR25" si="10">IF(BQ19=0,"нет",BP19/BQ19*100)</f>
        <v>#DIV/0!</v>
      </c>
      <c r="BS19" s="1766">
        <f t="shared" ref="BS19:BW19" si="11">SUM(BS20:BS27)</f>
        <v>0</v>
      </c>
      <c r="BT19" s="1766">
        <f t="shared" si="11"/>
        <v>7</v>
      </c>
      <c r="BU19" s="1765">
        <f t="shared" ref="BU19:BU27" si="12">IF(BT19&gt;0, BS19/BT19*100, нет)</f>
        <v>0</v>
      </c>
      <c r="BV19" s="1766">
        <f t="shared" si="11"/>
        <v>0</v>
      </c>
      <c r="BW19" s="1766">
        <f t="shared" si="11"/>
        <v>22</v>
      </c>
      <c r="BX19" s="1765">
        <f>IF(BW19&gt;0, BV19/BW19*100, нет)</f>
        <v>0</v>
      </c>
      <c r="BY19" s="1765">
        <f>SUM(BY20:BY27)</f>
        <v>0</v>
      </c>
      <c r="BZ19" s="1782">
        <f>SUM(BZ20:BZ27)</f>
        <v>0</v>
      </c>
      <c r="CA19" s="1765">
        <f>IF(BZ19=0,0,BY19/BZ19*100)</f>
        <v>0</v>
      </c>
      <c r="CB19" s="760">
        <f>Кадры!$N$19:$N$19</f>
        <v>0</v>
      </c>
      <c r="CC19" s="760">
        <f>Кадры!$J$19:$J$19</f>
        <v>0</v>
      </c>
      <c r="CD19" s="760">
        <f>IF(CC19=0,0,CB19/CC19*100)</f>
        <v>0</v>
      </c>
      <c r="CE19" s="760">
        <f>SUM(CE20:CE67)</f>
        <v>0</v>
      </c>
      <c r="CF19" s="760">
        <f>SUM(CF20:CF67)</f>
        <v>0</v>
      </c>
      <c r="CG19" s="506" t="str">
        <f>IF(CF19=0,"нет",CF19/CE19*100)</f>
        <v>нет</v>
      </c>
      <c r="CH19" s="1766">
        <f t="shared" ref="CH19:CL19" si="13">SUM(CH20:CH27)</f>
        <v>0</v>
      </c>
      <c r="CI19" s="1766">
        <f t="shared" si="13"/>
        <v>6</v>
      </c>
      <c r="CJ19" s="1765">
        <f t="shared" ref="CJ19:CJ27" si="14">IF(CI19&gt;0, CH19/CI19*100, нет)</f>
        <v>0</v>
      </c>
      <c r="CK19" s="1766">
        <f t="shared" si="13"/>
        <v>0</v>
      </c>
      <c r="CL19" s="1766">
        <f t="shared" si="13"/>
        <v>110</v>
      </c>
      <c r="CM19" s="1765">
        <f t="shared" ref="CM19:CM27" si="15">IF(CL19&gt;0, CK19/CL19*100, нет)</f>
        <v>0</v>
      </c>
      <c r="CP19" s="151">
        <v>9</v>
      </c>
      <c r="CQ19" s="96"/>
      <c r="CS19" s="93" t="e">
        <f t="array" ref="CS19">SUM(IF($F19:$CM19=нет,0,IF($F19:$CM19&gt;=$F$16:$CM$16,$F$16:$CM$16,IF($F19:$CM19&lt;$F$17:$CM$17,0,$F19:$CM19)))*$F$11:$CM$11*($F$108:$CM$108=CS$4)/$F$16:$CM$16*($F$110:$CM$143*($B$110:$B$143=$B19)*($A$110:$A$143=$A$108)))</f>
        <v>#DIV/0!</v>
      </c>
      <c r="CT19" s="93" t="e">
        <f t="array" ref="CT19">SUM(IF($F19:$CM19=нет,0,IF($F19:$CM19&gt;=$F$16:$CM$16,$F$16:$CM$16,IF($F19:$CM19&lt;$F$17:$CM$17,0,$F19:$CM19)))*$F$11:$CM$11*($F$108:$CM$108=CT$4)/$F$16:$CM$16*($F$110:$CM$143*($B$110:$B$143=$B19)*($A$110:$A$143=$A$108)))</f>
        <v>#DIV/0!</v>
      </c>
      <c r="CU19" s="93" t="e">
        <f t="array" ref="CU19">SUM(IF($F19:$CM19=нет,0,IF($F19:$CM19&gt;=$F$16:$CM$16,$F$16:$CM$16,IF($F19:$CM19&lt;$F$17:$CM$17,0,$F19:$CM19)))*$F$11:$CM$11*($F$109:$CM$109=CU$4)/$F$16:$CM$16*($F$110:$CM$143*($B$110:$B$143=$B19)*($A$110:$A$143=$A$108)))</f>
        <v>#DIV/0!</v>
      </c>
      <c r="CV19" s="93" t="e">
        <f t="array" ref="CV19">SUM(IF($F19:$CM19=нет,0,IF($F19:$CM19&gt;=$F$16:$CM$16,$F$16:$CM$16,IF($F19:$CM19&lt;$F$17:$CM$17,0,$F19:$CM19)))*$F$11:$CM$11*($F$108:$CM$108=CV$4)/$F$16:$CM$16*($F$110:$CM$143*($B$110:$B$143=$B19)*($A$110:$A$143=$A$108)))</f>
        <v>#DIV/0!</v>
      </c>
      <c r="CW19" s="93" t="e">
        <f t="array" ref="CW19">SUM(IF($F19:$CM19=нет,0,IF($F19:$CM19&gt;=$F$16:$CM$16,$F$16:$CM$16,IF($F19:$CM19&lt;$F$17:$CM$17,0,$F19:$CM19)))*$F$11:$CM$11*($F$108:$CM$108=CW$4)/$F$16:$CM$16*($F$110:$CM$143*($B$110:$B$143=$B19)*($A$110:$A$143=$A$108)))</f>
        <v>#DIV/0!</v>
      </c>
      <c r="CX19" s="93" t="e">
        <f t="array" ref="CX19">SUM(IF($F19:$CM19=нет,0,IF($F19:$CM19&gt;=$F$16:$CM$16,$F$16:$CM$16,IF($F19:$CM19&lt;$F$17:$CM$17,0,$F19:$CM19)))*$F$11:$CM$11*($F$108:$CM$108=CX$4)/$F$16:$CM$16*($F$110:$CM$143*($B$110:$B$143=$B19)*($A$110:$A$143=$A$108)))</f>
        <v>#DIV/0!</v>
      </c>
      <c r="CY19" s="93" t="e">
        <f t="array" ref="CY19">SUM(IF($F19:$CM19=нет,0,IF($F19:$CM19&gt;=$F$16:$CM$16,$F$16:$CM$16,IF($F19:$CM19&lt;$F$17:$CM$17,0,$F19:$CM19)))*$F$11:$CM$11*($F$108:$CM$108=CY$4)/$F$16:$CM$16*($F$110:$CM$143*($B$110:$B$143=$B19)*($A$110:$A$143=$A$108)))</f>
        <v>#DIV/0!</v>
      </c>
      <c r="CZ19" s="93" t="e">
        <f t="array" ref="CZ19">SUM(IF($F19:$CM19=нет,0,IF($F19:$CM19&gt;=$F$16:$CM$16,$F$16:$CM$16,IF($F19:$CM19&lt;$F$17:$CM$17,0,$F19:$CM19)))*$F$11:$CM$11*($F$108:$CM$108=CZ$4)/$F$16:$CM$16*($F$110:$CM$143*($B$110:$B$143=$B19)*($A$110:$A$143=$A$108)))</f>
        <v>#DIV/0!</v>
      </c>
      <c r="DB19" s="94" t="e">
        <f t="array" ref="DB19">SUM(IF($F19:$CM19=нет,0,100)*$F$11:$CM$11*($F$108:$CM$108=DB$4)/100*($F$110:$CM$143*($B$110:$B$143=$B19)*($A$110:$A$143=$A$108)))</f>
        <v>#DIV/0!</v>
      </c>
      <c r="DC19" s="94" t="e">
        <f t="array" ref="DC19">SUM(IF($F19:$CM19=нет,0,100)*$F$11:$CM$11*($F$108:$CM$108=DC$4)/100*($F$110:$CM$143*($B$110:$B$143=$B19)*($A$110:$A$143=$A$108)))</f>
        <v>#DIV/0!</v>
      </c>
      <c r="DD19" s="94" t="e">
        <f t="array" ref="DD19">SUM(IF($F19:$CM19=нет,0,100)*$F$11:$CM$11*($F$109:$CM$109=DD$4)/100*($F$110:$CM$143*($B$110:$B$143=$B19)*($A$110:$A$143=$A$108)))</f>
        <v>#DIV/0!</v>
      </c>
      <c r="DE19" s="94" t="e">
        <f t="array" ref="DE19">SUM(IF($F19:$CM19=нет,0,100)*$F$11:$CM$11*($F$108:$CM$108=DE$4)/100*($F$110:$CM$143*($B$110:$B$143=$B19)*($A$110:$A$143=$A$108)))</f>
        <v>#DIV/0!</v>
      </c>
      <c r="DF19" s="94" t="e">
        <f t="array" ref="DF19">SUM(IF($F19:$CM19=нет,0,100)*$F$11:$CM$11*($F$108:$CM$108=DF$4)/100*($F$110:$CM$143*($B$110:$B$143=$B19)*($A$110:$A$143=$A$108)))</f>
        <v>#DIV/0!</v>
      </c>
      <c r="DG19" s="94" t="e">
        <f t="array" ref="DG19">SUM(IF($F19:$CM19=нет,0,100)*$F$11:$CM$11*($F$108:$CM$108=DG$4)/100*($F$110:$CM$143*($B$110:$B$143=$B19)*($A$110:$A$143=$A$108)))</f>
        <v>#DIV/0!</v>
      </c>
      <c r="DH19" s="94" t="e">
        <f t="array" ref="DH19">SUM(IF($F19:$CM19=нет,0,100)*$F$11:$CM$11*($F$108:$CM$108=DH$4)/100*($F$110:$CM$143*($B$110:$B$143=$B19)*($A$110:$A$143=$A$108)))</f>
        <v>#DIV/0!</v>
      </c>
      <c r="DI19" s="94" t="e">
        <f t="array" ref="DI19">SUM(IF($F19:$CM19=нет,0,100)*$F$11:$CM$11*($F$108:$CM$108=DI$4)/100*($F$110:$CM$143*($B$110:$B$143=$B19)*($A$110:$A$143=$A$108)))</f>
        <v>#DIV/0!</v>
      </c>
      <c r="DK19" s="95" t="e">
        <f>SUM(CS19:CT19,CV19:CZ19)</f>
        <v>#DIV/0!</v>
      </c>
      <c r="DL19" s="95" t="e">
        <f>SUM(DB19:DC19,DE19:DI19)</f>
        <v>#DIV/0!</v>
      </c>
      <c r="DM19" s="90" t="e">
        <f>IF(DL19=0,0,DK19/DL19*100)</f>
        <v>#DIV/0!</v>
      </c>
      <c r="DO19" s="95" t="e">
        <f>SUM(CU19:CX19,CZ19)</f>
        <v>#DIV/0!</v>
      </c>
      <c r="DP19" s="95" t="e">
        <f>SUM(DD19:DG19,DI19)</f>
        <v>#DIV/0!</v>
      </c>
      <c r="DQ19" s="90" t="e">
        <f>IF(DP19=0,0,DO19/DP19*100)</f>
        <v>#DIV/0!</v>
      </c>
      <c r="DR19" s="96"/>
      <c r="DS19" s="168" t="e">
        <f>IF(DB19=0,0,TEXT(CS19/DB19*100,"0,0")&amp;"%
="&amp;TEXT(CS19,"0,0")&amp;"/"&amp;TEXT(DB19,"0,0"))</f>
        <v>#DIV/0!</v>
      </c>
      <c r="DT19" s="168" t="e">
        <f t="shared" ref="DT19:DZ19" si="16">IF(DC19=0,0,TEXT(CT19/DC19*100,"0,0")&amp;"%
="&amp;TEXT(CT19,"0,0")&amp;"/"&amp;TEXT(DC19,"0,0"))</f>
        <v>#DIV/0!</v>
      </c>
      <c r="DU19" s="168" t="e">
        <f t="shared" si="16"/>
        <v>#DIV/0!</v>
      </c>
      <c r="DV19" s="168" t="e">
        <f t="array" ref="DV19">IF(DE19=0,0,TEXT(CV19/DE19*100,"0,0")&amp;"%
="&amp;TEXT(CV19,"0,0")&amp;"/"&amp;TEXT(DE19,"0,0"))</f>
        <v>#DIV/0!</v>
      </c>
      <c r="DW19" s="168" t="e">
        <f t="shared" si="16"/>
        <v>#DIV/0!</v>
      </c>
      <c r="DX19" s="168" t="e">
        <f t="shared" si="16"/>
        <v>#DIV/0!</v>
      </c>
      <c r="DY19" s="168" t="e">
        <f t="shared" si="16"/>
        <v>#DIV/0!</v>
      </c>
      <c r="DZ19" s="168" t="e">
        <f t="shared" si="16"/>
        <v>#DIV/0!</v>
      </c>
      <c r="EA19" s="92" t="str">
        <f t="shared" ref="EA19:EA27" si="17">A19</f>
        <v>сумма по кафедрам</v>
      </c>
      <c r="EC19" s="168" t="e">
        <f>IF(DL19=0,0,TEXT(DK19/DL19*100,"0,0")&amp;"%
="&amp;TEXT(DK19,"0,0")&amp;"/"&amp;TEXT(DL19,"0,0"))</f>
        <v>#DIV/0!</v>
      </c>
    </row>
    <row r="20" spans="1:135" ht="18" x14ac:dyDescent="0.25">
      <c r="A20" s="163" t="s">
        <v>321</v>
      </c>
      <c r="B20" s="97" t="s">
        <v>176</v>
      </c>
      <c r="C20" s="139">
        <f t="array" ref="C20">SUM(IF(КАФЕДРА!$D$20:$D$75=$D20,КАФЕДРА!$C$20:$C$75,0))</f>
        <v>0</v>
      </c>
      <c r="D20" s="139" t="str">
        <f t="shared" ref="D20:D27" si="18">CO20</f>
        <v>КМЕДИЦИНЫ</v>
      </c>
      <c r="E20" s="157" t="s">
        <v>16</v>
      </c>
      <c r="F20" s="905"/>
      <c r="G20" s="57">
        <v>4</v>
      </c>
      <c r="H20" s="101">
        <f>IF(G20&lt;&gt;0,F20/G20*100,IF(F20&gt;0,100,нет))</f>
        <v>0</v>
      </c>
      <c r="I20" s="901"/>
      <c r="J20" s="901"/>
      <c r="K20" s="101" t="str">
        <f t="shared" ref="K20:K27" si="19">IF(J20=0,"нет",I20/J20*100)</f>
        <v>нет</v>
      </c>
      <c r="L20" s="902"/>
      <c r="M20" s="902"/>
      <c r="N20" s="101" t="str">
        <f t="shared" ref="N20:N25" si="20">IF(M20=0,"нет",L20/M20*100)</f>
        <v>нет</v>
      </c>
      <c r="O20" s="903"/>
      <c r="P20" s="408">
        <v>100</v>
      </c>
      <c r="Q20" s="101">
        <f t="shared" ref="Q20:Q25" si="21">IF(P20=0,"нет",O20/P20*100)</f>
        <v>0</v>
      </c>
      <c r="R20" s="100"/>
      <c r="S20" s="905"/>
      <c r="T20" s="100"/>
      <c r="U20" s="905"/>
      <c r="V20" s="101" t="str">
        <f>IF(R20=0,"нет",R20/(S20-T20+U20)*100)</f>
        <v>нет</v>
      </c>
      <c r="W20" s="905"/>
      <c r="X20" s="905"/>
      <c r="Y20" s="905"/>
      <c r="Z20" s="905"/>
      <c r="AA20" s="101" t="str">
        <f>IF(Z20=0,"нет",SUM(W20:X20,-Y20)/Z20*100)</f>
        <v>нет</v>
      </c>
      <c r="AB20" s="905"/>
      <c r="AC20" s="905"/>
      <c r="AD20" s="905"/>
      <c r="AE20" s="905"/>
      <c r="AF20" s="101" t="str">
        <f>IF(AE20=0,"нет",SUM(AB20:AC20,-AD20)/AE20*100)</f>
        <v>нет</v>
      </c>
      <c r="AG20" s="100"/>
      <c r="AH20" s="100"/>
      <c r="AI20" s="101" t="str">
        <f t="shared" ref="AI20:AI27" si="22">IF(AH20=0,"нет",AG20/AH20*100)</f>
        <v>нет</v>
      </c>
      <c r="AJ20" s="905"/>
      <c r="AK20" s="905"/>
      <c r="AL20" s="101" t="str">
        <f t="shared" ref="AL20:AL27" si="23">IF(AK20=0,"нет",AJ20/AK20*100)</f>
        <v>нет</v>
      </c>
      <c r="AM20" s="905"/>
      <c r="AN20" s="905"/>
      <c r="AO20" s="101" t="str">
        <f t="shared" ref="AO20:AO27" si="24">IF((AN20&gt;0),AM20/AN20*100,нет)</f>
        <v>нет</v>
      </c>
      <c r="AP20" s="945"/>
      <c r="AQ20" s="945"/>
      <c r="AR20" s="101" t="str">
        <f t="shared" si="2"/>
        <v>нет</v>
      </c>
      <c r="AS20" s="946"/>
      <c r="AT20" s="946"/>
      <c r="AU20" s="101" t="str">
        <f t="shared" si="3"/>
        <v>нет</v>
      </c>
      <c r="AV20" s="900">
        <f>SUM(КАФЕДРА!AB20:AB36)</f>
        <v>0</v>
      </c>
      <c r="AW20" s="900">
        <f>SUM(КАФЕДРА!AC20:AC36)</f>
        <v>0</v>
      </c>
      <c r="AX20" s="101" t="str">
        <f t="shared" si="4"/>
        <v>нет</v>
      </c>
      <c r="AY20" s="903"/>
      <c r="AZ20" s="61">
        <v>367</v>
      </c>
      <c r="BA20" s="1767">
        <f t="shared" si="6"/>
        <v>0</v>
      </c>
      <c r="BB20" s="903"/>
      <c r="BC20" s="61">
        <v>65</v>
      </c>
      <c r="BD20" s="1767">
        <f t="shared" si="7"/>
        <v>0</v>
      </c>
      <c r="BE20" s="1891"/>
      <c r="BF20" s="964"/>
      <c r="BG20" s="1731" t="str">
        <f>IF(BF20&lt;&gt;0,BE20/BF20*100,IF(BE20&gt;0,100,нет))</f>
        <v>нет</v>
      </c>
      <c r="BH20" s="1889"/>
      <c r="BI20" s="1889"/>
      <c r="BJ20" s="61" t="str">
        <f>IF($BI20=0,"нет",$BH20/$BI20*100)</f>
        <v>нет</v>
      </c>
      <c r="BK20" s="673" t="str">
        <f>IF($BI20=0,"нет",100-$BH20/$BI20*100)</f>
        <v>нет</v>
      </c>
      <c r="BL20" s="1890"/>
      <c r="BM20" s="1890"/>
      <c r="BN20" s="61" t="str">
        <f>IF($BM20=0,"нет",$BL20/$BM20*100)</f>
        <v>нет</v>
      </c>
      <c r="BO20" s="673" t="str">
        <f>IF($BM20=0,"нет",100-$BL20/$BM20*100)</f>
        <v>нет</v>
      </c>
      <c r="BP20" s="480" t="e">
        <f>SUM('НУ(Публикации)'!D20:D36)/COUNT('НУ(Публикации)'!D20:D36)</f>
        <v>#DIV/0!</v>
      </c>
      <c r="BQ20" s="541">
        <v>100</v>
      </c>
      <c r="BR20" s="673" t="e">
        <f t="shared" si="10"/>
        <v>#DIV/0!</v>
      </c>
      <c r="BS20" s="903"/>
      <c r="BT20" s="61">
        <v>1</v>
      </c>
      <c r="BU20" s="1767">
        <f t="shared" si="12"/>
        <v>0</v>
      </c>
      <c r="BV20" s="903"/>
      <c r="BW20" s="61">
        <v>8</v>
      </c>
      <c r="BX20" s="1767">
        <f t="shared" ref="BX20:BX27" si="25">IF(BW20&gt;0, BV20/BW20*100, нет)</f>
        <v>0</v>
      </c>
      <c r="BY20" s="1763">
        <f t="array" ref="BY20">SUM(IF('НУ(Финансы)'!$B$20:$B$77=ИНСТИТУТ!D20,'НУ(Финансы)'!$E$20:$E$77,0))</f>
        <v>0</v>
      </c>
      <c r="BZ20" s="1764">
        <f t="array" ref="BZ20">SUM(IF('НУ(Финансы)'!$B$20:$B$77=ИНСТИТУТ!D20,'НУ(Финансы)'!$F$20:$F$77,0))</f>
        <v>0</v>
      </c>
      <c r="CA20" s="1767">
        <f t="shared" ref="CA20:CA27" si="26">IF(BZ20=0,0,BY20/BZ20*100)</f>
        <v>0</v>
      </c>
      <c r="CB20" s="480">
        <f>SUM(Кадры!N20:N36)</f>
        <v>0</v>
      </c>
      <c r="CC20" s="480">
        <f>SUM(Кадры!J20:J36)</f>
        <v>0</v>
      </c>
      <c r="CD20" s="673" t="str">
        <f t="shared" ref="CD20:CD27" si="27">IF(CC20=0,"нет",CB20/CC20*100)</f>
        <v>нет</v>
      </c>
      <c r="CE20" s="480">
        <f t="array" ref="CE20">SUM(Кадры!D20:D36)</f>
        <v>0</v>
      </c>
      <c r="CF20" s="480">
        <f>SUM(Кадры!F20:F36)</f>
        <v>0</v>
      </c>
      <c r="CG20" s="673" t="str">
        <f>IF(CF20=0,"нет",CF20/CE20*100)</f>
        <v>нет</v>
      </c>
      <c r="CH20" s="903"/>
      <c r="CI20" s="61">
        <v>1</v>
      </c>
      <c r="CJ20" s="1767">
        <f t="shared" si="14"/>
        <v>0</v>
      </c>
      <c r="CK20" s="903"/>
      <c r="CL20" s="61">
        <v>56</v>
      </c>
      <c r="CM20" s="1767">
        <f t="shared" si="15"/>
        <v>0</v>
      </c>
      <c r="CO20" s="141" t="s">
        <v>335</v>
      </c>
      <c r="CP20" s="151">
        <v>10</v>
      </c>
      <c r="CS20" s="93" t="e">
        <f t="array" ref="CS20">SUM(IF($F20:$CM20=нет,0,IF($F20:$CM20&gt;=$F$16:$CM$16,$F$16:$CM$16,IF($F20:$CM20&lt;$F$17:$CM$17,0,$F20:$CM20)))*$F$11:$CM$11*($F$108:$CM$108=CS$4)/$F$16:$CM$16*($F$110:$CM$143*($B$110:$B$143=$B20)*($A$110:$A$143=$A$108)))</f>
        <v>#DIV/0!</v>
      </c>
      <c r="CT20" s="93" t="e">
        <f t="array" ref="CT20">SUM(IF($F20:$CM20=нет,0,IF($F20:$CM20&gt;=$F$16:$CM$16,$F$16:$CM$16,IF($F20:$CM20&lt;$F$17:$CM$17,0,$F20:$CM20)))*$F$11:$CM$11*($F$108:$CM$108=CT$4)/$F$16:$CM$16*($F$110:$CM$143*($B$110:$B$143=$B20)*($A$110:$A$143=$A$108)))</f>
        <v>#DIV/0!</v>
      </c>
      <c r="CU20" s="93" t="e">
        <f t="array" ref="CU20">SUM(IF($F20:$CM20=нет,0,IF($F20:$CM20&gt;=$F$16:$CM$16,$F$16:$CM$16,IF($F20:$CM20&lt;$F$17:$CM$17,0,$F20:$CM20)))*$F$11:$CM$11*($F$109:$CM$109=CU$4)/$F$16:$CM$16*($F$110:$CM$143*($B$110:$B$143=$B20)*($A$110:$A$143=$A$108)))</f>
        <v>#DIV/0!</v>
      </c>
      <c r="CV20" s="93" t="e">
        <f t="array" ref="CV20">SUM(IF($F20:$CM20=нет,0,IF($F20:$CM20&gt;=$F$16:$CM$16,$F$16:$CM$16,IF($F20:$CM20&lt;$F$17:$CM$17,0,$F20:$CM20)))*$F$11:$CM$11*($F$108:$CM$108=CV$4)/$F$16:$CM$16*($F$110:$CM$143*($B$110:$B$143=$B20)*($A$110:$A$143=$A$108)))</f>
        <v>#DIV/0!</v>
      </c>
      <c r="CW20" s="93" t="e">
        <f t="array" ref="CW20">SUM(IF($F20:$CM20=нет,0,IF($F20:$CM20&gt;=$F$16:$CM$16,$F$16:$CM$16,IF($F20:$CM20&lt;$F$17:$CM$17,0,$F20:$CM20)))*$F$11:$CM$11*($F$108:$CM$108=CW$4)/$F$16:$CM$16*($F$110:$CM$143*($B$110:$B$143=$B20)*($A$110:$A$143=$A$108)))</f>
        <v>#DIV/0!</v>
      </c>
      <c r="CX20" s="93" t="e">
        <f t="array" ref="CX20">SUM(IF($F20:$CM20=нет,0,IF($F20:$CM20&gt;=$F$16:$CM$16,$F$16:$CM$16,IF($F20:$CM20&lt;$F$17:$CM$17,0,$F20:$CM20)))*$F$11:$CM$11*($F$108:$CM$108=CX$4)/$F$16:$CM$16*($F$110:$CM$143*($B$110:$B$143=$B20)*($A$110:$A$143=$A$108)))</f>
        <v>#DIV/0!</v>
      </c>
      <c r="CY20" s="93" t="e">
        <f t="array" ref="CY20">SUM(IF($F20:$CM20=нет,0,IF($F20:$CM20&gt;=$F$16:$CM$16,$F$16:$CM$16,IF($F20:$CM20&lt;$F$17:$CM$17,0,$F20:$CM20)))*$F$11:$CM$11*($F$108:$CM$108=CY$4)/$F$16:$CM$16*($F$110:$CM$143*($B$110:$B$143=$B20)*($A$110:$A$143=$A$108)))</f>
        <v>#DIV/0!</v>
      </c>
      <c r="CZ20" s="93" t="e">
        <f t="array" ref="CZ20">SUM(IF($F20:$CM20=нет,0,IF($F20:$CM20&gt;=$F$16:$CM$16,$F$16:$CM$16,IF($F20:$CM20&lt;$F$17:$CM$17,0,$F20:$CM20)))*$F$11:$CM$11*($F$108:$CM$108=CZ$4)/$F$16:$CM$16*($F$110:$CM$143*($B$110:$B$143=$B20)*($A$110:$A$143=$A$108)))</f>
        <v>#DIV/0!</v>
      </c>
      <c r="DB20" s="94" t="e">
        <f t="array" ref="DB20">SUM(IF($F20:$CM20=нет,0,100)*$F$11:$CM$11*($F$108:$CM$108=DB$4)/100*($F$110:$CM$143*($B$110:$B$143=$B20)*($A$110:$A$143=$A$108)))</f>
        <v>#DIV/0!</v>
      </c>
      <c r="DC20" s="94" t="e">
        <f t="array" ref="DC20">SUM(IF($F20:$CM20=нет,0,100)*$F$11:$CM$11*($F$108:$CM$108=DC$4)/100*($F$110:$CM$143*($B$110:$B$143=$B20)*($A$110:$A$143=$A$108)))</f>
        <v>#DIV/0!</v>
      </c>
      <c r="DD20" s="94" t="e">
        <f t="array" ref="DD20">SUM(IF($F20:$CM20=нет,0,100)*$F$11:$CM$11*($F$109:$CM$109=DD$4)/100*($F$110:$CM$143*($B$110:$B$143=$B20)*($A$110:$A$143=$A$108)))</f>
        <v>#DIV/0!</v>
      </c>
      <c r="DE20" s="94" t="e">
        <f t="array" ref="DE20">SUM(IF($F20:$CM20=нет,0,100)*$F$11:$CM$11*($F$108:$CM$108=DE$4)/100*($F$110:$CM$143*($B$110:$B$143=$B20)*($A$110:$A$143=$A$108)))</f>
        <v>#DIV/0!</v>
      </c>
      <c r="DF20" s="94" t="e">
        <f t="array" ref="DF20">SUM(IF($F20:$CM20=нет,0,100)*$F$11:$CM$11*($F$108:$CM$108=DF$4)/100*($F$110:$CM$143*($B$110:$B$143=$B20)*($A$110:$A$143=$A$108)))</f>
        <v>#DIV/0!</v>
      </c>
      <c r="DG20" s="94" t="e">
        <f t="array" ref="DG20">SUM(IF($F20:$CM20=нет,0,100)*$F$11:$CM$11*($F$108:$CM$108=DG$4)/100*($F$110:$CM$143*($B$110:$B$143=$B20)*($A$110:$A$143=$A$108)))</f>
        <v>#DIV/0!</v>
      </c>
      <c r="DH20" s="94" t="e">
        <f t="array" ref="DH20">SUM(IF($F20:$CM20=нет,0,100)*$F$11:$CM$11*($F$108:$CM$108=DH$4)/100*($F$110:$CM$143*($B$110:$B$143=$B20)*($A$110:$A$143=$A$108)))</f>
        <v>#DIV/0!</v>
      </c>
      <c r="DI20" s="94" t="e">
        <f t="array" ref="DI20">SUM(IF($F20:$CM20=нет,0,100)*$F$11:$CM$11*($F$108:$CM$108=DI$4)/100*($F$110:$CM$143*($B$110:$B$143=$B20)*($A$110:$A$143=$A$108)))</f>
        <v>#DIV/0!</v>
      </c>
      <c r="DK20" s="95" t="e">
        <f t="shared" ref="DK20:DK27" si="28">SUM(CS20:CT20,CV20:CZ20)</f>
        <v>#DIV/0!</v>
      </c>
      <c r="DL20" s="95" t="e">
        <f t="shared" ref="DL20:DL27" si="29">SUM(DB20:DC20,DE20:DI20)</f>
        <v>#DIV/0!</v>
      </c>
      <c r="DM20" s="90" t="e">
        <f t="shared" ref="DM20:DM25" si="30">IF(DL20=0,0,DK20/DL20*100)</f>
        <v>#DIV/0!</v>
      </c>
      <c r="DO20" s="95" t="e">
        <f t="shared" ref="DO20:DO27" si="31">SUM(CU20:CX20,CZ20)</f>
        <v>#DIV/0!</v>
      </c>
      <c r="DP20" s="95" t="e">
        <f t="shared" ref="DP20:DP27" si="32">SUM(DD20:DG20,DI20)</f>
        <v>#DIV/0!</v>
      </c>
      <c r="DQ20" s="90" t="e">
        <f t="shared" ref="DQ20:DQ25" si="33">IF(DP20=0,0,DO20/DP20*100)</f>
        <v>#DIV/0!</v>
      </c>
      <c r="DS20" s="168" t="e">
        <f t="shared" ref="DS20:DS25" si="34">IF(DB20=0,0,TEXT(CS20/DB20*100,"0,0")&amp;"%
="&amp;TEXT(CS20,"0,0")&amp;"/"&amp;TEXT(DB20,"0,0"))</f>
        <v>#DIV/0!</v>
      </c>
      <c r="DT20" s="168" t="e">
        <f t="shared" ref="DT20:DT25" si="35">IF(DC20=0,0,TEXT(CT20/DC20*100,"0,0")&amp;"%
="&amp;TEXT(CT20,"0,0")&amp;"/"&amp;TEXT(DC20,"0,0"))</f>
        <v>#DIV/0!</v>
      </c>
      <c r="DU20" s="168" t="e">
        <f t="shared" ref="DU20:DU25" si="36">IF(DD20=0,0,TEXT(CU20/DD20*100,"0,0")&amp;"%
="&amp;TEXT(CU20,"0,0")&amp;"/"&amp;TEXT(DD20,"0,0"))</f>
        <v>#DIV/0!</v>
      </c>
      <c r="DV20" s="168" t="e">
        <f t="shared" ref="DV20:DV25" si="37">IF(DE20=0,0,TEXT(CV20/DE20*100,"0,0")&amp;"%
="&amp;TEXT(CV20,"0,0")&amp;"/"&amp;TEXT(DE20,"0,0"))</f>
        <v>#DIV/0!</v>
      </c>
      <c r="DW20" s="168" t="e">
        <f t="shared" ref="DW20:DW25" si="38">IF(DF20=0,0,TEXT(CW20/DF20*100,"0,0")&amp;"%
="&amp;TEXT(CW20,"0,0")&amp;"/"&amp;TEXT(DF20,"0,0"))</f>
        <v>#DIV/0!</v>
      </c>
      <c r="DX20" s="168" t="e">
        <f t="shared" ref="DX20:DX25" si="39">IF(DG20=0,0,TEXT(CX20/DG20*100,"0,0")&amp;"%
="&amp;TEXT(CX20,"0,0")&amp;"/"&amp;TEXT(DG20,"0,0"))</f>
        <v>#DIV/0!</v>
      </c>
      <c r="DY20" s="168" t="e">
        <f t="shared" ref="DY20:DY25" si="40">IF(DH20=0,0,TEXT(CY20/DH20*100,"0,0")&amp;"%
="&amp;TEXT(CY20,"0,0")&amp;"/"&amp;TEXT(DH20,"0,0"))</f>
        <v>#DIV/0!</v>
      </c>
      <c r="DZ20" s="168" t="e">
        <f t="shared" ref="DZ20:DZ25" si="41">IF(DI20=0,0,TEXT(CZ20/DI20*100,"0,0")&amp;"%
="&amp;TEXT(CZ20,"0,0")&amp;"/"&amp;TEXT(DI20,"0,0"))</f>
        <v>#DIV/0!</v>
      </c>
      <c r="EA20" s="92" t="str">
        <f t="shared" si="17"/>
        <v>Институт клинической медицины</v>
      </c>
      <c r="EB20" s="31" t="str">
        <f t="shared" ref="EB20:EB27" si="42">D20</f>
        <v>КМЕДИЦИНЫ</v>
      </c>
      <c r="EC20" s="168" t="e">
        <f t="shared" ref="EC20:EC58" si="43">IF(DL20=0,0,TEXT(DK20/DL20*100,"0,0")&amp;"%
="&amp;TEXT(DK20,"0,0")&amp;"/"&amp;TEXT(DL20,"0,0"))</f>
        <v>#DIV/0!</v>
      </c>
      <c r="EE20" s="31">
        <f t="shared" ref="EE20:EE27" si="44">C20*8</f>
        <v>0</v>
      </c>
    </row>
    <row r="21" spans="1:135" ht="18" x14ac:dyDescent="0.25">
      <c r="A21" s="163" t="s">
        <v>322</v>
      </c>
      <c r="B21" s="97" t="s">
        <v>176</v>
      </c>
      <c r="C21" s="139">
        <f t="array" ref="C21">SUM(IF(КАФЕДРА!$D$20:$D$75=$D21,КАФЕДРА!$C$20:$C$75,0))</f>
        <v>0</v>
      </c>
      <c r="D21" s="139" t="str">
        <f t="shared" si="18"/>
        <v>ПЕДИАТРИИ</v>
      </c>
      <c r="E21" s="157" t="s">
        <v>16</v>
      </c>
      <c r="F21" s="905"/>
      <c r="G21" s="57">
        <v>2</v>
      </c>
      <c r="H21" s="101">
        <f t="shared" ref="H21:H27" si="45">IF(G21=0,"нет",F21/G21*100)</f>
        <v>0</v>
      </c>
      <c r="I21" s="901"/>
      <c r="J21" s="901"/>
      <c r="K21" s="101" t="str">
        <f t="shared" si="19"/>
        <v>нет</v>
      </c>
      <c r="L21" s="902"/>
      <c r="M21" s="902"/>
      <c r="N21" s="101" t="str">
        <f t="shared" si="20"/>
        <v>нет</v>
      </c>
      <c r="O21" s="903"/>
      <c r="P21" s="408">
        <v>100</v>
      </c>
      <c r="Q21" s="101">
        <f t="shared" si="21"/>
        <v>0</v>
      </c>
      <c r="R21" s="100"/>
      <c r="S21" s="905"/>
      <c r="T21" s="100"/>
      <c r="U21" s="905"/>
      <c r="V21" s="101" t="str">
        <f t="shared" ref="V21:V27" si="46">IF(R21=0,"нет",R21/(S21-T21+U21)*100)</f>
        <v>нет</v>
      </c>
      <c r="W21" s="905"/>
      <c r="X21" s="905"/>
      <c r="Y21" s="905"/>
      <c r="Z21" s="905"/>
      <c r="AA21" s="101" t="str">
        <f t="shared" ref="AA21:AA27" si="47">IF(Z21=0,"нет",SUM(W21:X21,-Y21)/Z21*100)</f>
        <v>нет</v>
      </c>
      <c r="AB21" s="905"/>
      <c r="AC21" s="905"/>
      <c r="AD21" s="905"/>
      <c r="AE21" s="905"/>
      <c r="AF21" s="101" t="str">
        <f t="shared" ref="AF21:AF59" si="48">IF(AE21=0,"нет",SUM(AB21:AC21,-AD21)/AE21*100)</f>
        <v>нет</v>
      </c>
      <c r="AG21" s="100"/>
      <c r="AH21" s="100"/>
      <c r="AI21" s="101" t="str">
        <f t="shared" si="22"/>
        <v>нет</v>
      </c>
      <c r="AJ21" s="905"/>
      <c r="AK21" s="905"/>
      <c r="AL21" s="101" t="str">
        <f t="shared" si="23"/>
        <v>нет</v>
      </c>
      <c r="AM21" s="905"/>
      <c r="AN21" s="905"/>
      <c r="AO21" s="101" t="str">
        <f t="shared" si="24"/>
        <v>нет</v>
      </c>
      <c r="AP21" s="945"/>
      <c r="AQ21" s="945"/>
      <c r="AR21" s="101" t="str">
        <f t="shared" si="2"/>
        <v>нет</v>
      </c>
      <c r="AS21" s="946"/>
      <c r="AT21" s="946"/>
      <c r="AU21" s="101" t="str">
        <f t="shared" si="3"/>
        <v>нет</v>
      </c>
      <c r="AV21" s="900">
        <f>SUM(КАФЕДРА!AB37:AB47)</f>
        <v>0</v>
      </c>
      <c r="AW21" s="900">
        <f>SUM(КАФЕДРА!AC37:AC47)</f>
        <v>0</v>
      </c>
      <c r="AX21" s="101" t="str">
        <f t="shared" si="4"/>
        <v>нет</v>
      </c>
      <c r="AY21" s="903"/>
      <c r="AZ21" s="61">
        <v>48</v>
      </c>
      <c r="BA21" s="1767">
        <f t="shared" si="6"/>
        <v>0</v>
      </c>
      <c r="BB21" s="903"/>
      <c r="BC21" s="61">
        <v>12</v>
      </c>
      <c r="BD21" s="1767">
        <f t="shared" si="7"/>
        <v>0</v>
      </c>
      <c r="BE21" s="1891"/>
      <c r="BF21" s="964"/>
      <c r="BG21" s="1731" t="str">
        <f t="shared" ref="BG21:BG27" si="49">IF(BF21&lt;&gt;0,BE21/BF21*100,IF(BE21&gt;0,100,нет))</f>
        <v>нет</v>
      </c>
      <c r="BH21" s="1889"/>
      <c r="BI21" s="1889"/>
      <c r="BJ21" s="61" t="str">
        <f t="shared" ref="BJ21:BJ27" si="50">IF($BI21=0,"нет",$BH21/$BI21*100)</f>
        <v>нет</v>
      </c>
      <c r="BK21" s="673" t="str">
        <f t="shared" ref="BK21:BK27" si="51">IF($BI21=0,"нет",100-$BH21/$BI21*100)</f>
        <v>нет</v>
      </c>
      <c r="BL21" s="1890"/>
      <c r="BM21" s="1890"/>
      <c r="BN21" s="61" t="str">
        <f t="shared" si="8"/>
        <v>нет</v>
      </c>
      <c r="BO21" s="673" t="str">
        <f t="shared" si="9"/>
        <v>нет</v>
      </c>
      <c r="BP21" s="480" t="e">
        <f>SUM('НУ(Публикации)'!D37:D47)/COUNT('НУ(Публикации)'!D37:D47)</f>
        <v>#DIV/0!</v>
      </c>
      <c r="BQ21" s="541">
        <v>100</v>
      </c>
      <c r="BR21" s="673" t="e">
        <f t="shared" si="10"/>
        <v>#DIV/0!</v>
      </c>
      <c r="BS21" s="903"/>
      <c r="BT21" s="61">
        <v>1</v>
      </c>
      <c r="BU21" s="1767">
        <f t="shared" si="12"/>
        <v>0</v>
      </c>
      <c r="BV21" s="903"/>
      <c r="BW21" s="61">
        <v>4</v>
      </c>
      <c r="BX21" s="1767">
        <f t="shared" si="25"/>
        <v>0</v>
      </c>
      <c r="BY21" s="1763">
        <f t="array" ref="BY21">SUM(IF('НУ(Финансы)'!$B$20:$B$77=ИНСТИТУТ!D21,'НУ(Финансы)'!$E$20:$E$77,0))</f>
        <v>0</v>
      </c>
      <c r="BZ21" s="1764">
        <f t="array" ref="BZ21">SUM(IF('НУ(Финансы)'!$B$20:$B$77=ИНСТИТУТ!D21,'НУ(Финансы)'!$F$20:$F$77,0))</f>
        <v>0</v>
      </c>
      <c r="CA21" s="1767">
        <f t="shared" si="26"/>
        <v>0</v>
      </c>
      <c r="CB21" s="480">
        <f>SUM(Кадры!N37:N47)</f>
        <v>0</v>
      </c>
      <c r="CC21" s="480">
        <f>SUM(Кадры!J37:J47)</f>
        <v>0</v>
      </c>
      <c r="CD21" s="673" t="str">
        <f t="shared" si="27"/>
        <v>нет</v>
      </c>
      <c r="CE21" s="480">
        <f>SUM(Кадры!D37:D47)</f>
        <v>0</v>
      </c>
      <c r="CF21" s="480">
        <f>SUM(Кадры!F37:F47)</f>
        <v>0</v>
      </c>
      <c r="CG21" s="673" t="str">
        <f t="shared" ref="CG21:CG27" si="52">IF(CF21=0,"нет",CF21/CE21*100)</f>
        <v>нет</v>
      </c>
      <c r="CH21" s="903"/>
      <c r="CI21" s="61">
        <v>1</v>
      </c>
      <c r="CJ21" s="1767">
        <f t="shared" si="14"/>
        <v>0</v>
      </c>
      <c r="CK21" s="903"/>
      <c r="CL21" s="61">
        <v>9</v>
      </c>
      <c r="CM21" s="1767">
        <f t="shared" si="15"/>
        <v>0</v>
      </c>
      <c r="CO21" s="141" t="s">
        <v>332</v>
      </c>
      <c r="CP21" s="151">
        <v>11</v>
      </c>
      <c r="CS21" s="93" t="e">
        <f t="array" ref="CS21">SUM(IF($F21:$CM21=нет,0,IF($F21:$CM21&gt;=$F$16:$CM$16,$F$16:$CM$16,IF($F21:$CM21&lt;$F$17:$CM$17,0,$F21:$CM21)))*$F$11:$CM$11*($F$108:$CM$108=CS$4)/$F$16:$CM$16*($F$110:$CM$143*($B$110:$B$143=$B21)*($A$110:$A$143=$A$108)))</f>
        <v>#DIV/0!</v>
      </c>
      <c r="CT21" s="93" t="e">
        <f t="array" ref="CT21">SUM(IF($F21:$CM21=нет,0,IF($F21:$CM21&gt;=$F$16:$CM$16,$F$16:$CM$16,IF($F21:$CM21&lt;$F$17:$CM$17,0,$F21:$CM21)))*$F$11:$CM$11*($F$108:$CM$108=CT$4)/$F$16:$CM$16*($F$110:$CM$143*($B$110:$B$143=$B21)*($A$110:$A$143=$A$108)))</f>
        <v>#DIV/0!</v>
      </c>
      <c r="CU21" s="93" t="e">
        <f t="array" ref="CU21">SUM(IF($F21:$CM21=нет,0,IF($F21:$CM21&gt;=$F$16:$CM$16,$F$16:$CM$16,IF($F21:$CM21&lt;$F$17:$CM$17,0,$F21:$CM21)))*$F$11:$CM$11*($F$109:$CM$109=CU$4)/$F$16:$CM$16*($F$110:$CM$143*($B$110:$B$143=$B21)*($A$110:$A$143=$A$108)))</f>
        <v>#DIV/0!</v>
      </c>
      <c r="CV21" s="93" t="e">
        <f t="array" ref="CV21">SUM(IF($F21:$CM21=нет,0,IF($F21:$CM21&gt;=$F$16:$CM$16,$F$16:$CM$16,IF($F21:$CM21&lt;$F$17:$CM$17,0,$F21:$CM21)))*$F$11:$CM$11*($F$108:$CM$108=CV$4)/$F$16:$CM$16*($F$110:$CM$143*($B$110:$B$143=$B21)*($A$110:$A$143=$A$108)))</f>
        <v>#DIV/0!</v>
      </c>
      <c r="CW21" s="93" t="e">
        <f t="array" ref="CW21">SUM(IF($F21:$CM21=нет,0,IF($F21:$CM21&gt;=$F$16:$CM$16,$F$16:$CM$16,IF($F21:$CM21&lt;$F$17:$CM$17,0,$F21:$CM21)))*$F$11:$CM$11*($F$108:$CM$108=CW$4)/$F$16:$CM$16*($F$110:$CM$143*($B$110:$B$143=$B21)*($A$110:$A$143=$A$108)))</f>
        <v>#DIV/0!</v>
      </c>
      <c r="CX21" s="93" t="e">
        <f t="array" ref="CX21">SUM(IF($F21:$CM21=нет,0,IF($F21:$CM21&gt;=$F$16:$CM$16,$F$16:$CM$16,IF($F21:$CM21&lt;$F$17:$CM$17,0,$F21:$CM21)))*$F$11:$CM$11*($F$108:$CM$108=CX$4)/$F$16:$CM$16*($F$110:$CM$143*($B$110:$B$143=$B21)*($A$110:$A$143=$A$108)))</f>
        <v>#DIV/0!</v>
      </c>
      <c r="CY21" s="93" t="e">
        <f t="array" ref="CY21">SUM(IF($F21:$CM21=нет,0,IF($F21:$CM21&gt;=$F$16:$CM$16,$F$16:$CM$16,IF($F21:$CM21&lt;$F$17:$CM$17,0,$F21:$CM21)))*$F$11:$CM$11*($F$108:$CM$108=CY$4)/$F$16:$CM$16*($F$110:$CM$143*($B$110:$B$143=$B21)*($A$110:$A$143=$A$108)))</f>
        <v>#DIV/0!</v>
      </c>
      <c r="CZ21" s="93" t="e">
        <f t="array" ref="CZ21">SUM(IF($F21:$CM21=нет,0,IF($F21:$CM21&gt;=$F$16:$CM$16,$F$16:$CM$16,IF($F21:$CM21&lt;$F$17:$CM$17,0,$F21:$CM21)))*$F$11:$CM$11*($F$108:$CM$108=CZ$4)/$F$16:$CM$16*($F$110:$CM$143*($B$110:$B$143=$B21)*($A$110:$A$143=$A$108)))</f>
        <v>#DIV/0!</v>
      </c>
      <c r="DB21" s="94" t="e">
        <f t="array" ref="DB21">SUM(IF($F21:$CM21=нет,0,100)*$F$11:$CM$11*($F$108:$CM$108=DB$4)/100*($F$110:$CM$143*($B$110:$B$143=$B21)*($A$110:$A$143=$A$108)))</f>
        <v>#DIV/0!</v>
      </c>
      <c r="DC21" s="94" t="e">
        <f t="array" ref="DC21">SUM(IF($F21:$CM21=нет,0,100)*$F$11:$CM$11*($F$108:$CM$108=DC$4)/100*($F$110:$CM$143*($B$110:$B$143=$B21)*($A$110:$A$143=$A$108)))</f>
        <v>#DIV/0!</v>
      </c>
      <c r="DD21" s="94" t="e">
        <f t="array" ref="DD21">SUM(IF($F21:$CM21=нет,0,100)*$F$11:$CM$11*($F$109:$CM$109=DD$4)/100*($F$110:$CM$143*($B$110:$B$143=$B21)*($A$110:$A$143=$A$108)))</f>
        <v>#DIV/0!</v>
      </c>
      <c r="DE21" s="94" t="e">
        <f t="array" ref="DE21">SUM(IF($F21:$CM21=нет,0,100)*$F$11:$CM$11*($F$108:$CM$108=DE$4)/100*($F$110:$CM$143*($B$110:$B$143=$B21)*($A$110:$A$143=$A$108)))</f>
        <v>#DIV/0!</v>
      </c>
      <c r="DF21" s="94" t="e">
        <f t="array" ref="DF21">SUM(IF($F21:$CM21=нет,0,100)*$F$11:$CM$11*($F$108:$CM$108=DF$4)/100*($F$110:$CM$143*($B$110:$B$143=$B21)*($A$110:$A$143=$A$108)))</f>
        <v>#DIV/0!</v>
      </c>
      <c r="DG21" s="94" t="e">
        <f t="array" ref="DG21">SUM(IF($F21:$CM21=нет,0,100)*$F$11:$CM$11*($F$108:$CM$108=DG$4)/100*($F$110:$CM$143*($B$110:$B$143=$B21)*($A$110:$A$143=$A$108)))</f>
        <v>#DIV/0!</v>
      </c>
      <c r="DH21" s="94" t="e">
        <f t="array" ref="DH21">SUM(IF($F21:$CM21=нет,0,100)*$F$11:$CM$11*($F$108:$CM$108=DH$4)/100*($F$110:$CM$143*($B$110:$B$143=$B21)*($A$110:$A$143=$A$108)))</f>
        <v>#DIV/0!</v>
      </c>
      <c r="DI21" s="94" t="e">
        <f t="array" ref="DI21">SUM(IF($F21:$CM21=нет,0,100)*$F$11:$CM$11*($F$108:$CM$108=DI$4)/100*($F$110:$CM$143*($B$110:$B$143=$B21)*($A$110:$A$143=$A$108)))</f>
        <v>#DIV/0!</v>
      </c>
      <c r="DK21" s="95" t="e">
        <f t="shared" si="28"/>
        <v>#DIV/0!</v>
      </c>
      <c r="DL21" s="95" t="e">
        <f t="shared" si="29"/>
        <v>#DIV/0!</v>
      </c>
      <c r="DM21" s="90" t="e">
        <f t="shared" si="30"/>
        <v>#DIV/0!</v>
      </c>
      <c r="DO21" s="95" t="e">
        <f t="shared" si="31"/>
        <v>#DIV/0!</v>
      </c>
      <c r="DP21" s="95" t="e">
        <f t="shared" si="32"/>
        <v>#DIV/0!</v>
      </c>
      <c r="DQ21" s="90" t="e">
        <f t="shared" si="33"/>
        <v>#DIV/0!</v>
      </c>
      <c r="DS21" s="168" t="e">
        <f t="shared" si="34"/>
        <v>#DIV/0!</v>
      </c>
      <c r="DT21" s="168" t="e">
        <f t="shared" si="35"/>
        <v>#DIV/0!</v>
      </c>
      <c r="DU21" s="168" t="e">
        <f t="shared" si="36"/>
        <v>#DIV/0!</v>
      </c>
      <c r="DV21" s="168" t="e">
        <f t="shared" si="37"/>
        <v>#DIV/0!</v>
      </c>
      <c r="DW21" s="168" t="e">
        <f t="shared" si="38"/>
        <v>#DIV/0!</v>
      </c>
      <c r="DX21" s="168" t="e">
        <f t="shared" si="39"/>
        <v>#DIV/0!</v>
      </c>
      <c r="DY21" s="168" t="e">
        <f t="shared" si="40"/>
        <v>#DIV/0!</v>
      </c>
      <c r="DZ21" s="168" t="e">
        <f t="shared" si="41"/>
        <v>#DIV/0!</v>
      </c>
      <c r="EA21" s="92" t="str">
        <f t="shared" si="17"/>
        <v>Институт педиатрии</v>
      </c>
      <c r="EB21" s="31" t="str">
        <f t="shared" si="42"/>
        <v>ПЕДИАТРИИ</v>
      </c>
      <c r="EC21" s="168" t="e">
        <f t="shared" si="43"/>
        <v>#DIV/0!</v>
      </c>
      <c r="EE21" s="31">
        <f t="shared" si="44"/>
        <v>0</v>
      </c>
    </row>
    <row r="22" spans="1:135" ht="18" x14ac:dyDescent="0.25">
      <c r="A22" s="163" t="s">
        <v>323</v>
      </c>
      <c r="B22" s="97" t="s">
        <v>176</v>
      </c>
      <c r="C22" s="139">
        <f t="array" ref="C22">SUM(IF(КАФЕДРА!$D$20:$D$75=$D22,КАФЕДРА!$C$20:$C$75,0))</f>
        <v>0</v>
      </c>
      <c r="D22" s="139" t="str">
        <f t="shared" si="18"/>
        <v>СТОМ</v>
      </c>
      <c r="E22" s="157" t="s">
        <v>16</v>
      </c>
      <c r="F22" s="905"/>
      <c r="G22" s="57">
        <v>4</v>
      </c>
      <c r="H22" s="101">
        <f t="shared" si="45"/>
        <v>0</v>
      </c>
      <c r="I22" s="901"/>
      <c r="J22" s="901"/>
      <c r="K22" s="101" t="str">
        <f t="shared" si="19"/>
        <v>нет</v>
      </c>
      <c r="L22" s="902"/>
      <c r="M22" s="902"/>
      <c r="N22" s="101" t="str">
        <f t="shared" si="20"/>
        <v>нет</v>
      </c>
      <c r="O22" s="903"/>
      <c r="P22" s="408">
        <v>100</v>
      </c>
      <c r="Q22" s="101">
        <f t="shared" si="21"/>
        <v>0</v>
      </c>
      <c r="R22" s="100"/>
      <c r="S22" s="905"/>
      <c r="T22" s="100"/>
      <c r="U22" s="905"/>
      <c r="V22" s="101" t="str">
        <f t="shared" si="46"/>
        <v>нет</v>
      </c>
      <c r="W22" s="905"/>
      <c r="X22" s="905"/>
      <c r="Y22" s="905"/>
      <c r="Z22" s="905"/>
      <c r="AA22" s="101" t="str">
        <f t="shared" si="47"/>
        <v>нет</v>
      </c>
      <c r="AB22" s="905"/>
      <c r="AC22" s="905"/>
      <c r="AD22" s="905"/>
      <c r="AE22" s="905"/>
      <c r="AF22" s="101" t="str">
        <f t="shared" si="48"/>
        <v>нет</v>
      </c>
      <c r="AG22" s="100"/>
      <c r="AH22" s="100"/>
      <c r="AI22" s="101" t="str">
        <f t="shared" si="22"/>
        <v>нет</v>
      </c>
      <c r="AJ22" s="905"/>
      <c r="AK22" s="905"/>
      <c r="AL22" s="101" t="str">
        <f t="shared" si="23"/>
        <v>нет</v>
      </c>
      <c r="AM22" s="905"/>
      <c r="AN22" s="905"/>
      <c r="AO22" s="101" t="str">
        <f t="shared" si="24"/>
        <v>нет</v>
      </c>
      <c r="AP22" s="945"/>
      <c r="AQ22" s="945"/>
      <c r="AR22" s="101" t="str">
        <f t="shared" si="2"/>
        <v>нет</v>
      </c>
      <c r="AS22" s="946"/>
      <c r="AT22" s="946"/>
      <c r="AU22" s="101" t="str">
        <f t="shared" si="3"/>
        <v>нет</v>
      </c>
      <c r="AV22" s="900">
        <f>SUM(КАФЕДРА!AB48:AB52)</f>
        <v>0</v>
      </c>
      <c r="AW22" s="900">
        <f>SUM(КАФЕДРА!AC48:AC52)</f>
        <v>0</v>
      </c>
      <c r="AX22" s="101" t="str">
        <f t="shared" si="4"/>
        <v>нет</v>
      </c>
      <c r="AY22" s="903"/>
      <c r="AZ22" s="61">
        <v>84</v>
      </c>
      <c r="BA22" s="1767">
        <f t="shared" si="6"/>
        <v>0</v>
      </c>
      <c r="BB22" s="903"/>
      <c r="BC22" s="61">
        <v>21</v>
      </c>
      <c r="BD22" s="1767">
        <f t="shared" si="7"/>
        <v>0</v>
      </c>
      <c r="BE22" s="1891"/>
      <c r="BF22" s="964"/>
      <c r="BG22" s="1731" t="str">
        <f t="shared" si="49"/>
        <v>нет</v>
      </c>
      <c r="BH22" s="1889"/>
      <c r="BI22" s="1889"/>
      <c r="BJ22" s="61" t="str">
        <f t="shared" si="50"/>
        <v>нет</v>
      </c>
      <c r="BK22" s="673" t="str">
        <f t="shared" si="51"/>
        <v>нет</v>
      </c>
      <c r="BL22" s="1890"/>
      <c r="BM22" s="1890"/>
      <c r="BN22" s="61" t="str">
        <f t="shared" si="8"/>
        <v>нет</v>
      </c>
      <c r="BO22" s="673" t="str">
        <f t="shared" si="9"/>
        <v>нет</v>
      </c>
      <c r="BP22" s="480" t="e">
        <f>SUM('НУ(Публикации)'!D48:D52)/COUNT('НУ(Публикации)'!D48:D52)</f>
        <v>#DIV/0!</v>
      </c>
      <c r="BQ22" s="541">
        <v>100</v>
      </c>
      <c r="BR22" s="673" t="e">
        <f t="shared" si="10"/>
        <v>#DIV/0!</v>
      </c>
      <c r="BS22" s="903"/>
      <c r="BT22" s="61">
        <v>1</v>
      </c>
      <c r="BU22" s="1767">
        <f t="shared" si="12"/>
        <v>0</v>
      </c>
      <c r="BV22" s="903"/>
      <c r="BW22" s="61">
        <v>5</v>
      </c>
      <c r="BX22" s="1767">
        <f t="shared" si="25"/>
        <v>0</v>
      </c>
      <c r="BY22" s="1763">
        <f t="array" ref="BY22">SUM(IF('НУ(Финансы)'!$B$20:$B$77=ИНСТИТУТ!D22,'НУ(Финансы)'!$E$20:$E$77,0))</f>
        <v>0</v>
      </c>
      <c r="BZ22" s="1764">
        <f t="array" ref="BZ22">SUM(IF('НУ(Финансы)'!$B$20:$B$77=ИНСТИТУТ!D22,'НУ(Финансы)'!$F$20:$F$77,0))</f>
        <v>0</v>
      </c>
      <c r="CA22" s="1767">
        <f t="shared" si="26"/>
        <v>0</v>
      </c>
      <c r="CB22" s="133">
        <f>Кадры!N48+Кадры!N49+Кадры!N50+Кадры!N52</f>
        <v>0</v>
      </c>
      <c r="CC22" s="133">
        <f>Кадры!J48+Кадры!J49+Кадры!J50+Кадры!J52</f>
        <v>0</v>
      </c>
      <c r="CD22" s="673" t="str">
        <f t="shared" si="27"/>
        <v>нет</v>
      </c>
      <c r="CE22" s="480">
        <f>SUM(Кадры!D48:D52)</f>
        <v>0</v>
      </c>
      <c r="CF22" s="480">
        <f>SUM(Кадры!F48:F52)</f>
        <v>0</v>
      </c>
      <c r="CG22" s="673" t="str">
        <f t="shared" si="52"/>
        <v>нет</v>
      </c>
      <c r="CH22" s="903"/>
      <c r="CI22" s="61">
        <v>1</v>
      </c>
      <c r="CJ22" s="1767">
        <f t="shared" si="14"/>
        <v>0</v>
      </c>
      <c r="CK22" s="903"/>
      <c r="CL22" s="61">
        <v>15</v>
      </c>
      <c r="CM22" s="1767">
        <f t="shared" si="15"/>
        <v>0</v>
      </c>
      <c r="CO22" s="141" t="s">
        <v>108</v>
      </c>
      <c r="CP22" s="151">
        <v>12</v>
      </c>
      <c r="CS22" s="93" t="e">
        <f t="array" ref="CS22">SUM(IF($F22:$CM22=нет,0,IF($F22:$CM22&gt;=$F$16:$CM$16,$F$16:$CM$16,IF($F22:$CM22&lt;$F$17:$CM$17,0,$F22:$CM22)))*$F$11:$CM$11*($F$108:$CM$108=CS$4)/$F$16:$CM$16*($F$110:$CM$143*($B$110:$B$143=$B22)*($A$110:$A$143=$A$108)))</f>
        <v>#DIV/0!</v>
      </c>
      <c r="CT22" s="93" t="e">
        <f t="array" ref="CT22">SUM(IF($F22:$CM22=нет,0,IF($F22:$CM22&gt;=$F$16:$CM$16,$F$16:$CM$16,IF($F22:$CM22&lt;$F$17:$CM$17,0,$F22:$CM22)))*$F$11:$CM$11*($F$108:$CM$108=CT$4)/$F$16:$CM$16*($F$110:$CM$143*($B$110:$B$143=$B22)*($A$110:$A$143=$A$108)))</f>
        <v>#DIV/0!</v>
      </c>
      <c r="CU22" s="93" t="e">
        <f t="array" ref="CU22">SUM(IF($F22:$CM22=нет,0,IF($F22:$CM22&gt;=$F$16:$CM$16,$F$16:$CM$16,IF($F22:$CM22&lt;$F$17:$CM$17,0,$F22:$CM22)))*$F$11:$CM$11*($F$109:$CM$109=CU$4)/$F$16:$CM$16*($F$110:$CM$143*($B$110:$B$143=$B22)*($A$110:$A$143=$A$108)))</f>
        <v>#DIV/0!</v>
      </c>
      <c r="CV22" s="93" t="e">
        <f t="array" ref="CV22">SUM(IF($F22:$CM22=нет,0,IF($F22:$CM22&gt;=$F$16:$CM$16,$F$16:$CM$16,IF($F22:$CM22&lt;$F$17:$CM$17,0,$F22:$CM22)))*$F$11:$CM$11*($F$108:$CM$108=CV$4)/$F$16:$CM$16*($F$110:$CM$143*($B$110:$B$143=$B22)*($A$110:$A$143=$A$108)))</f>
        <v>#DIV/0!</v>
      </c>
      <c r="CW22" s="93" t="e">
        <f t="array" ref="CW22">SUM(IF($F22:$CM22=нет,0,IF($F22:$CM22&gt;=$F$16:$CM$16,$F$16:$CM$16,IF($F22:$CM22&lt;$F$17:$CM$17,0,$F22:$CM22)))*$F$11:$CM$11*($F$108:$CM$108=CW$4)/$F$16:$CM$16*($F$110:$CM$143*($B$110:$B$143=$B22)*($A$110:$A$143=$A$108)))</f>
        <v>#DIV/0!</v>
      </c>
      <c r="CX22" s="93" t="e">
        <f t="array" ref="CX22">SUM(IF($F22:$CM22=нет,0,IF($F22:$CM22&gt;=$F$16:$CM$16,$F$16:$CM$16,IF($F22:$CM22&lt;$F$17:$CM$17,0,$F22:$CM22)))*$F$11:$CM$11*($F$108:$CM$108=CX$4)/$F$16:$CM$16*($F$110:$CM$143*($B$110:$B$143=$B22)*($A$110:$A$143=$A$108)))</f>
        <v>#DIV/0!</v>
      </c>
      <c r="CY22" s="93" t="e">
        <f t="array" ref="CY22">SUM(IF($F22:$CM22=нет,0,IF($F22:$CM22&gt;=$F$16:$CM$16,$F$16:$CM$16,IF($F22:$CM22&lt;$F$17:$CM$17,0,$F22:$CM22)))*$F$11:$CM$11*($F$108:$CM$108=CY$4)/$F$16:$CM$16*($F$110:$CM$143*($B$110:$B$143=$B22)*($A$110:$A$143=$A$108)))</f>
        <v>#DIV/0!</v>
      </c>
      <c r="CZ22" s="93" t="e">
        <f t="array" ref="CZ22">SUM(IF($F22:$CM22=нет,0,IF($F22:$CM22&gt;=$F$16:$CM$16,$F$16:$CM$16,IF($F22:$CM22&lt;$F$17:$CM$17,0,$F22:$CM22)))*$F$11:$CM$11*($F$108:$CM$108=CZ$4)/$F$16:$CM$16*($F$110:$CM$143*($B$110:$B$143=$B22)*($A$110:$A$143=$A$108)))</f>
        <v>#DIV/0!</v>
      </c>
      <c r="DB22" s="94" t="e">
        <f t="array" ref="DB22">SUM(IF($F22:$CM22=нет,0,100)*$F$11:$CM$11*($F$108:$CM$108=DB$4)/100*($F$110:$CM$143*($B$110:$B$143=$B22)*($A$110:$A$143=$A$108)))</f>
        <v>#DIV/0!</v>
      </c>
      <c r="DC22" s="94" t="e">
        <f t="array" ref="DC22">SUM(IF($F22:$CM22=нет,0,100)*$F$11:$CM$11*($F$108:$CM$108=DC$4)/100*($F$110:$CM$143*($B$110:$B$143=$B22)*($A$110:$A$143=$A$108)))</f>
        <v>#DIV/0!</v>
      </c>
      <c r="DD22" s="94" t="e">
        <f t="array" ref="DD22">SUM(IF($F22:$CM22=нет,0,100)*$F$11:$CM$11*($F$109:$CM$109=DD$4)/100*($F$110:$CM$143*($B$110:$B$143=$B22)*($A$110:$A$143=$A$108)))</f>
        <v>#DIV/0!</v>
      </c>
      <c r="DE22" s="94" t="e">
        <f t="array" ref="DE22">SUM(IF($F22:$CM22=нет,0,100)*$F$11:$CM$11*($F$108:$CM$108=DE$4)/100*($F$110:$CM$143*($B$110:$B$143=$B22)*($A$110:$A$143=$A$108)))</f>
        <v>#DIV/0!</v>
      </c>
      <c r="DF22" s="94" t="e">
        <f t="array" ref="DF22">SUM(IF($F22:$CM22=нет,0,100)*$F$11:$CM$11*($F$108:$CM$108=DF$4)/100*($F$110:$CM$143*($B$110:$B$143=$B22)*($A$110:$A$143=$A$108)))</f>
        <v>#DIV/0!</v>
      </c>
      <c r="DG22" s="94" t="e">
        <f t="array" ref="DG22">SUM(IF($F22:$CM22=нет,0,100)*$F$11:$CM$11*($F$108:$CM$108=DG$4)/100*($F$110:$CM$143*($B$110:$B$143=$B22)*($A$110:$A$143=$A$108)))</f>
        <v>#DIV/0!</v>
      </c>
      <c r="DH22" s="94" t="e">
        <f t="array" ref="DH22">SUM(IF($F22:$CM22=нет,0,100)*$F$11:$CM$11*($F$108:$CM$108=DH$4)/100*($F$110:$CM$143*($B$110:$B$143=$B22)*($A$110:$A$143=$A$108)))</f>
        <v>#DIV/0!</v>
      </c>
      <c r="DI22" s="94" t="e">
        <f t="array" ref="DI22">SUM(IF($F22:$CM22=нет,0,100)*$F$11:$CM$11*($F$108:$CM$108=DI$4)/100*($F$110:$CM$143*($B$110:$B$143=$B22)*($A$110:$A$143=$A$108)))</f>
        <v>#DIV/0!</v>
      </c>
      <c r="DK22" s="95" t="e">
        <f t="shared" si="28"/>
        <v>#DIV/0!</v>
      </c>
      <c r="DL22" s="95" t="e">
        <f t="shared" si="29"/>
        <v>#DIV/0!</v>
      </c>
      <c r="DM22" s="90" t="e">
        <f t="shared" si="30"/>
        <v>#DIV/0!</v>
      </c>
      <c r="DO22" s="95" t="e">
        <f t="shared" si="31"/>
        <v>#DIV/0!</v>
      </c>
      <c r="DP22" s="95" t="e">
        <f t="shared" si="32"/>
        <v>#DIV/0!</v>
      </c>
      <c r="DQ22" s="90" t="e">
        <f t="shared" si="33"/>
        <v>#DIV/0!</v>
      </c>
      <c r="DS22" s="168" t="e">
        <f t="shared" si="34"/>
        <v>#DIV/0!</v>
      </c>
      <c r="DT22" s="168" t="e">
        <f t="shared" si="35"/>
        <v>#DIV/0!</v>
      </c>
      <c r="DU22" s="168" t="e">
        <f t="shared" si="36"/>
        <v>#DIV/0!</v>
      </c>
      <c r="DV22" s="168" t="e">
        <f t="shared" si="37"/>
        <v>#DIV/0!</v>
      </c>
      <c r="DW22" s="168" t="e">
        <f t="shared" si="38"/>
        <v>#DIV/0!</v>
      </c>
      <c r="DX22" s="168" t="e">
        <f t="shared" si="39"/>
        <v>#DIV/0!</v>
      </c>
      <c r="DY22" s="168" t="e">
        <f t="shared" si="40"/>
        <v>#DIV/0!</v>
      </c>
      <c r="DZ22" s="168" t="e">
        <f t="shared" si="41"/>
        <v>#DIV/0!</v>
      </c>
      <c r="EA22" s="92" t="str">
        <f t="shared" si="17"/>
        <v>Институт стоматологии</v>
      </c>
      <c r="EB22" s="31" t="str">
        <f t="shared" si="42"/>
        <v>СТОМ</v>
      </c>
      <c r="EC22" s="168" t="e">
        <f t="shared" si="43"/>
        <v>#DIV/0!</v>
      </c>
      <c r="EE22" s="31">
        <f t="shared" si="44"/>
        <v>0</v>
      </c>
    </row>
    <row r="23" spans="1:135" s="106" customFormat="1" ht="18.75" thickBot="1" x14ac:dyDescent="0.3">
      <c r="A23" s="163" t="s">
        <v>324</v>
      </c>
      <c r="B23" s="97" t="s">
        <v>176</v>
      </c>
      <c r="C23" s="139">
        <f t="array" ref="C23">SUM(IF(КАФЕДРА!$D$20:$D$75=$D23,КАФЕДРА!$C$20:$C$75,0))</f>
        <v>0</v>
      </c>
      <c r="D23" s="139" t="str">
        <f t="shared" si="18"/>
        <v>ОЗДОРОВЬЯ</v>
      </c>
      <c r="E23" s="157" t="s">
        <v>16</v>
      </c>
      <c r="F23" s="905"/>
      <c r="G23" s="57">
        <v>2</v>
      </c>
      <c r="H23" s="101">
        <f t="shared" si="45"/>
        <v>0</v>
      </c>
      <c r="I23" s="901"/>
      <c r="J23" s="901"/>
      <c r="K23" s="101" t="str">
        <f t="shared" si="19"/>
        <v>нет</v>
      </c>
      <c r="L23" s="902"/>
      <c r="M23" s="902"/>
      <c r="N23" s="101" t="str">
        <f t="shared" si="20"/>
        <v>нет</v>
      </c>
      <c r="O23" s="903"/>
      <c r="P23" s="408">
        <v>100</v>
      </c>
      <c r="Q23" s="101">
        <f t="shared" si="21"/>
        <v>0</v>
      </c>
      <c r="R23" s="100"/>
      <c r="S23" s="905"/>
      <c r="T23" s="100"/>
      <c r="U23" s="905"/>
      <c r="V23" s="101" t="str">
        <f t="shared" si="46"/>
        <v>нет</v>
      </c>
      <c r="W23" s="905"/>
      <c r="X23" s="905"/>
      <c r="Y23" s="905"/>
      <c r="Z23" s="905"/>
      <c r="AA23" s="101" t="str">
        <f t="shared" si="47"/>
        <v>нет</v>
      </c>
      <c r="AB23" s="905"/>
      <c r="AC23" s="905"/>
      <c r="AD23" s="905"/>
      <c r="AE23" s="905"/>
      <c r="AF23" s="101" t="str">
        <f t="shared" si="48"/>
        <v>нет</v>
      </c>
      <c r="AG23" s="100"/>
      <c r="AH23" s="100"/>
      <c r="AI23" s="101" t="str">
        <f t="shared" si="22"/>
        <v>нет</v>
      </c>
      <c r="AJ23" s="905"/>
      <c r="AK23" s="905"/>
      <c r="AL23" s="101" t="str">
        <f t="shared" si="23"/>
        <v>нет</v>
      </c>
      <c r="AM23" s="905"/>
      <c r="AN23" s="905"/>
      <c r="AO23" s="101" t="str">
        <f t="shared" si="24"/>
        <v>нет</v>
      </c>
      <c r="AP23" s="945"/>
      <c r="AQ23" s="945"/>
      <c r="AR23" s="101" t="str">
        <f t="shared" si="2"/>
        <v>нет</v>
      </c>
      <c r="AS23" s="946"/>
      <c r="AT23" s="946"/>
      <c r="AU23" s="101" t="str">
        <f t="shared" si="3"/>
        <v>нет</v>
      </c>
      <c r="AV23" s="900">
        <f>SUM(КАФЕДРА!AB53:AB62)</f>
        <v>0</v>
      </c>
      <c r="AW23" s="900">
        <f>SUM(КАФЕДРА!AC53:AC62)</f>
        <v>0</v>
      </c>
      <c r="AX23" s="101" t="str">
        <f t="shared" si="4"/>
        <v>нет</v>
      </c>
      <c r="AY23" s="903"/>
      <c r="AZ23" s="61">
        <v>14</v>
      </c>
      <c r="BA23" s="1767">
        <f t="shared" si="6"/>
        <v>0</v>
      </c>
      <c r="BB23" s="903"/>
      <c r="BC23" s="61">
        <v>3</v>
      </c>
      <c r="BD23" s="1767">
        <f t="shared" si="7"/>
        <v>0</v>
      </c>
      <c r="BE23" s="1891"/>
      <c r="BF23" s="964"/>
      <c r="BG23" s="1731" t="str">
        <f t="shared" si="49"/>
        <v>нет</v>
      </c>
      <c r="BH23" s="1889"/>
      <c r="BI23" s="1889"/>
      <c r="BJ23" s="61" t="str">
        <f t="shared" si="50"/>
        <v>нет</v>
      </c>
      <c r="BK23" s="673" t="str">
        <f t="shared" si="51"/>
        <v>нет</v>
      </c>
      <c r="BL23" s="1890"/>
      <c r="BM23" s="1890"/>
      <c r="BN23" s="61" t="str">
        <f t="shared" si="8"/>
        <v>нет</v>
      </c>
      <c r="BO23" s="673" t="str">
        <f t="shared" si="9"/>
        <v>нет</v>
      </c>
      <c r="BP23" s="480" t="e">
        <f>SUM('НУ(Публикации)'!D53:D62)/COUNT('НУ(Публикации)'!D53:D62)</f>
        <v>#DIV/0!</v>
      </c>
      <c r="BQ23" s="541">
        <v>100</v>
      </c>
      <c r="BR23" s="673" t="e">
        <f t="shared" si="10"/>
        <v>#DIV/0!</v>
      </c>
      <c r="BS23" s="903"/>
      <c r="BT23" s="61">
        <v>1</v>
      </c>
      <c r="BU23" s="1767">
        <f t="shared" si="12"/>
        <v>0</v>
      </c>
      <c r="BV23" s="903"/>
      <c r="BW23" s="61">
        <v>1</v>
      </c>
      <c r="BX23" s="1767">
        <f t="shared" si="25"/>
        <v>0</v>
      </c>
      <c r="BY23" s="1763">
        <f t="array" ref="BY23">SUM(IF('НУ(Финансы)'!$B$20:$B$77=ИНСТИТУТ!D23,'НУ(Финансы)'!$E$20:$E$77,0))</f>
        <v>0</v>
      </c>
      <c r="BZ23" s="1764">
        <f t="array" ref="BZ23">SUM(IF('НУ(Финансы)'!$B$20:$B$77=ИНСТИТУТ!D23,'НУ(Финансы)'!$F$20:$F$77,0))</f>
        <v>0</v>
      </c>
      <c r="CA23" s="1767">
        <f t="shared" si="26"/>
        <v>0</v>
      </c>
      <c r="CB23" s="480">
        <f>SUM(Кадры!N53:N62)</f>
        <v>0</v>
      </c>
      <c r="CC23" s="480">
        <f>SUM(Кадры!J53:J62)</f>
        <v>0</v>
      </c>
      <c r="CD23" s="673" t="str">
        <f t="shared" si="27"/>
        <v>нет</v>
      </c>
      <c r="CE23" s="480">
        <f>SUM(Кадры!D53:D62)</f>
        <v>0</v>
      </c>
      <c r="CF23" s="480">
        <f>SUM(Кадры!F53:F62)</f>
        <v>0</v>
      </c>
      <c r="CG23" s="673" t="str">
        <f t="shared" si="52"/>
        <v>нет</v>
      </c>
      <c r="CH23" s="903"/>
      <c r="CI23" s="61">
        <v>1</v>
      </c>
      <c r="CJ23" s="1767">
        <f t="shared" si="14"/>
        <v>0</v>
      </c>
      <c r="CK23" s="903"/>
      <c r="CL23" s="61">
        <v>8</v>
      </c>
      <c r="CM23" s="1767">
        <f t="shared" si="15"/>
        <v>0</v>
      </c>
      <c r="CO23" s="141" t="s">
        <v>333</v>
      </c>
      <c r="CP23" s="151">
        <v>13</v>
      </c>
      <c r="CQ23" s="107"/>
      <c r="CS23" s="93" t="e">
        <f t="array" ref="CS23">SUM(IF($F23:$CM23=нет,0,IF($F23:$CM23&gt;=$F$16:$CM$16,$F$16:$CM$16,IF($F23:$CM23&lt;$F$17:$CM$17,0,$F23:$CM23)))*$F$11:$CM$11*($F$108:$CM$108=CS$4)/$F$16:$CM$16*($F$110:$CM$143*($B$110:$B$143=$B23)*($A$110:$A$143=$A$108)))</f>
        <v>#DIV/0!</v>
      </c>
      <c r="CT23" s="93" t="e">
        <f t="array" ref="CT23">SUM(IF($F23:$CM23=нет,0,IF($F23:$CM23&gt;=$F$16:$CM$16,$F$16:$CM$16,IF($F23:$CM23&lt;$F$17:$CM$17,0,$F23:$CM23)))*$F$11:$CM$11*($F$108:$CM$108=CT$4)/$F$16:$CM$16*($F$110:$CM$143*($B$110:$B$143=$B23)*($A$110:$A$143=$A$108)))</f>
        <v>#DIV/0!</v>
      </c>
      <c r="CU23" s="93" t="e">
        <f t="array" ref="CU23">SUM(IF($F23:$CM23=нет,0,IF($F23:$CM23&gt;=$F$16:$CM$16,$F$16:$CM$16,IF($F23:$CM23&lt;$F$17:$CM$17,0,$F23:$CM23)))*$F$11:$CM$11*($F$109:$CM$109=CU$4)/$F$16:$CM$16*($F$110:$CM$143*($B$110:$B$143=$B23)*($A$110:$A$143=$A$108)))</f>
        <v>#DIV/0!</v>
      </c>
      <c r="CV23" s="93" t="e">
        <f t="array" ref="CV23">SUM(IF($F23:$CM23=нет,0,IF($F23:$CM23&gt;=$F$16:$CM$16,$F$16:$CM$16,IF($F23:$CM23&lt;$F$17:$CM$17,0,$F23:$CM23)))*$F$11:$CM$11*($F$108:$CM$108=CV$4)/$F$16:$CM$16*($F$110:$CM$143*($B$110:$B$143=$B23)*($A$110:$A$143=$A$108)))</f>
        <v>#DIV/0!</v>
      </c>
      <c r="CW23" s="93" t="e">
        <f t="array" ref="CW23">SUM(IF($F23:$CM23=нет,0,IF($F23:$CM23&gt;=$F$16:$CM$16,$F$16:$CM$16,IF($F23:$CM23&lt;$F$17:$CM$17,0,$F23:$CM23)))*$F$11:$CM$11*($F$108:$CM$108=CW$4)/$F$16:$CM$16*($F$110:$CM$143*($B$110:$B$143=$B23)*($A$110:$A$143=$A$108)))</f>
        <v>#DIV/0!</v>
      </c>
      <c r="CX23" s="93" t="e">
        <f t="array" ref="CX23">SUM(IF($F23:$CM23=нет,0,IF($F23:$CM23&gt;=$F$16:$CM$16,$F$16:$CM$16,IF($F23:$CM23&lt;$F$17:$CM$17,0,$F23:$CM23)))*$F$11:$CM$11*($F$108:$CM$108=CX$4)/$F$16:$CM$16*($F$110:$CM$143*($B$110:$B$143=$B23)*($A$110:$A$143=$A$108)))</f>
        <v>#DIV/0!</v>
      </c>
      <c r="CY23" s="93" t="e">
        <f t="array" ref="CY23">SUM(IF($F23:$CM23=нет,0,IF($F23:$CM23&gt;=$F$16:$CM$16,$F$16:$CM$16,IF($F23:$CM23&lt;$F$17:$CM$17,0,$F23:$CM23)))*$F$11:$CM$11*($F$108:$CM$108=CY$4)/$F$16:$CM$16*($F$110:$CM$143*($B$110:$B$143=$B23)*($A$110:$A$143=$A$108)))</f>
        <v>#DIV/0!</v>
      </c>
      <c r="CZ23" s="93" t="e">
        <f t="array" ref="CZ23">SUM(IF($F23:$CM23=нет,0,IF($F23:$CM23&gt;=$F$16:$CM$16,$F$16:$CM$16,IF($F23:$CM23&lt;$F$17:$CM$17,0,$F23:$CM23)))*$F$11:$CM$11*($F$108:$CM$108=CZ$4)/$F$16:$CM$16*($F$110:$CM$143*($B$110:$B$143=$B23)*($A$110:$A$143=$A$108)))</f>
        <v>#DIV/0!</v>
      </c>
      <c r="DB23" s="94" t="e">
        <f t="array" ref="DB23">SUM(IF($F23:$CM23=нет,0,100)*$F$11:$CM$11*($F$108:$CM$108=DB$4)/100*($F$110:$CM$143*($B$110:$B$143=$B23)*($A$110:$A$143=$A$108)))</f>
        <v>#DIV/0!</v>
      </c>
      <c r="DC23" s="94" t="e">
        <f t="array" ref="DC23">SUM(IF($F23:$CM23=нет,0,100)*$F$11:$CM$11*($F$108:$CM$108=DC$4)/100*($F$110:$CM$143*($B$110:$B$143=$B23)*($A$110:$A$143=$A$108)))</f>
        <v>#DIV/0!</v>
      </c>
      <c r="DD23" s="94" t="e">
        <f t="array" ref="DD23">SUM(IF($F23:$CM23=нет,0,100)*$F$11:$CM$11*($F$109:$CM$109=DD$4)/100*($F$110:$CM$143*($B$110:$B$143=$B23)*($A$110:$A$143=$A$108)))</f>
        <v>#DIV/0!</v>
      </c>
      <c r="DE23" s="94" t="e">
        <f t="array" ref="DE23">SUM(IF($F23:$CM23=нет,0,100)*$F$11:$CM$11*($F$108:$CM$108=DE$4)/100*($F$110:$CM$143*($B$110:$B$143=$B23)*($A$110:$A$143=$A$108)))</f>
        <v>#DIV/0!</v>
      </c>
      <c r="DF23" s="94" t="e">
        <f t="array" ref="DF23">SUM(IF($F23:$CM23=нет,0,100)*$F$11:$CM$11*($F$108:$CM$108=DF$4)/100*($F$110:$CM$143*($B$110:$B$143=$B23)*($A$110:$A$143=$A$108)))</f>
        <v>#DIV/0!</v>
      </c>
      <c r="DG23" s="94" t="e">
        <f t="array" ref="DG23">SUM(IF($F23:$CM23=нет,0,100)*$F$11:$CM$11*($F$108:$CM$108=DG$4)/100*($F$110:$CM$143*($B$110:$B$143=$B23)*($A$110:$A$143=$A$108)))</f>
        <v>#DIV/0!</v>
      </c>
      <c r="DH23" s="94" t="e">
        <f t="array" ref="DH23">SUM(IF($F23:$CM23=нет,0,100)*$F$11:$CM$11*($F$108:$CM$108=DH$4)/100*($F$110:$CM$143*($B$110:$B$143=$B23)*($A$110:$A$143=$A$108)))</f>
        <v>#DIV/0!</v>
      </c>
      <c r="DI23" s="94" t="e">
        <f t="array" ref="DI23">SUM(IF($F23:$CM23=нет,0,100)*$F$11:$CM$11*($F$108:$CM$108=DI$4)/100*($F$110:$CM$143*($B$110:$B$143=$B23)*($A$110:$A$143=$A$108)))</f>
        <v>#DIV/0!</v>
      </c>
      <c r="DK23" s="95" t="e">
        <f t="shared" si="28"/>
        <v>#DIV/0!</v>
      </c>
      <c r="DL23" s="95" t="e">
        <f t="shared" si="29"/>
        <v>#DIV/0!</v>
      </c>
      <c r="DM23" s="90" t="e">
        <f t="shared" si="30"/>
        <v>#DIV/0!</v>
      </c>
      <c r="DO23" s="95" t="e">
        <f t="shared" si="31"/>
        <v>#DIV/0!</v>
      </c>
      <c r="DP23" s="95" t="e">
        <f t="shared" si="32"/>
        <v>#DIV/0!</v>
      </c>
      <c r="DQ23" s="90" t="e">
        <f t="shared" si="33"/>
        <v>#DIV/0!</v>
      </c>
      <c r="DR23" s="107"/>
      <c r="DS23" s="168" t="e">
        <f t="shared" si="34"/>
        <v>#DIV/0!</v>
      </c>
      <c r="DT23" s="168" t="e">
        <f t="shared" si="35"/>
        <v>#DIV/0!</v>
      </c>
      <c r="DU23" s="168" t="e">
        <f t="shared" si="36"/>
        <v>#DIV/0!</v>
      </c>
      <c r="DV23" s="168" t="e">
        <f t="shared" si="37"/>
        <v>#DIV/0!</v>
      </c>
      <c r="DW23" s="168" t="e">
        <f t="shared" si="38"/>
        <v>#DIV/0!</v>
      </c>
      <c r="DX23" s="168" t="e">
        <f t="shared" si="39"/>
        <v>#DIV/0!</v>
      </c>
      <c r="DY23" s="168" t="e">
        <f t="shared" si="40"/>
        <v>#DIV/0!</v>
      </c>
      <c r="DZ23" s="168" t="e">
        <f t="shared" si="41"/>
        <v>#DIV/0!</v>
      </c>
      <c r="EA23" s="92" t="str">
        <f t="shared" si="17"/>
        <v>Институт общественного здоровья и профилактической медицины</v>
      </c>
      <c r="EB23" s="31" t="str">
        <f t="shared" si="42"/>
        <v>ОЗДОРОВЬЯ</v>
      </c>
      <c r="EC23" s="168" t="e">
        <f t="shared" si="43"/>
        <v>#DIV/0!</v>
      </c>
      <c r="EE23" s="31">
        <f t="shared" si="44"/>
        <v>0</v>
      </c>
    </row>
    <row r="24" spans="1:135" ht="18" x14ac:dyDescent="0.25">
      <c r="A24" s="163" t="s">
        <v>325</v>
      </c>
      <c r="B24" s="97" t="s">
        <v>176</v>
      </c>
      <c r="C24" s="139">
        <f t="array" ref="C24">SUM(IF(КАФЕДРА!$D$20:$D$75=$D24,КАФЕДРА!$C$20:$C$75,0))</f>
        <v>0</v>
      </c>
      <c r="D24" s="139" t="str">
        <f t="shared" si="18"/>
        <v>ФАРМ</v>
      </c>
      <c r="E24" s="157" t="s">
        <v>16</v>
      </c>
      <c r="F24" s="905"/>
      <c r="G24" s="57">
        <v>2</v>
      </c>
      <c r="H24" s="101">
        <f t="shared" si="45"/>
        <v>0</v>
      </c>
      <c r="I24" s="901"/>
      <c r="J24" s="901"/>
      <c r="K24" s="101" t="str">
        <f t="shared" si="19"/>
        <v>нет</v>
      </c>
      <c r="L24" s="902"/>
      <c r="M24" s="902"/>
      <c r="N24" s="101" t="str">
        <f t="shared" si="20"/>
        <v>нет</v>
      </c>
      <c r="O24" s="903"/>
      <c r="P24" s="408">
        <v>100</v>
      </c>
      <c r="Q24" s="101">
        <f t="shared" si="21"/>
        <v>0</v>
      </c>
      <c r="R24" s="100"/>
      <c r="S24" s="905"/>
      <c r="T24" s="100"/>
      <c r="U24" s="905"/>
      <c r="V24" s="101" t="str">
        <f t="shared" si="46"/>
        <v>нет</v>
      </c>
      <c r="W24" s="905"/>
      <c r="X24" s="905"/>
      <c r="Y24" s="905"/>
      <c r="Z24" s="905"/>
      <c r="AA24" s="101" t="str">
        <f t="shared" si="47"/>
        <v>нет</v>
      </c>
      <c r="AB24" s="905"/>
      <c r="AC24" s="905"/>
      <c r="AD24" s="905"/>
      <c r="AE24" s="905"/>
      <c r="AF24" s="101" t="str">
        <f t="shared" si="48"/>
        <v>нет</v>
      </c>
      <c r="AG24" s="100"/>
      <c r="AH24" s="100"/>
      <c r="AI24" s="101" t="str">
        <f t="shared" si="22"/>
        <v>нет</v>
      </c>
      <c r="AJ24" s="905"/>
      <c r="AK24" s="905"/>
      <c r="AL24" s="101" t="str">
        <f t="shared" si="23"/>
        <v>нет</v>
      </c>
      <c r="AM24" s="905"/>
      <c r="AN24" s="905"/>
      <c r="AO24" s="101" t="str">
        <f t="shared" si="24"/>
        <v>нет</v>
      </c>
      <c r="AP24" s="945"/>
      <c r="AQ24" s="945"/>
      <c r="AR24" s="101" t="str">
        <f t="shared" si="2"/>
        <v>нет</v>
      </c>
      <c r="AS24" s="946"/>
      <c r="AT24" s="946"/>
      <c r="AU24" s="101" t="str">
        <f t="shared" si="3"/>
        <v>нет</v>
      </c>
      <c r="AV24" s="900">
        <f>SUM(КАФЕДРА!AB64:AB68)</f>
        <v>0</v>
      </c>
      <c r="AW24" s="900">
        <f>SUM(КАФЕДРА!AC64:AC68)</f>
        <v>0</v>
      </c>
      <c r="AX24" s="101" t="str">
        <f t="shared" si="4"/>
        <v>нет</v>
      </c>
      <c r="AY24" s="903"/>
      <c r="AZ24" s="61">
        <v>21</v>
      </c>
      <c r="BA24" s="1767">
        <f t="shared" si="6"/>
        <v>0</v>
      </c>
      <c r="BB24" s="903"/>
      <c r="BC24" s="61">
        <v>4</v>
      </c>
      <c r="BD24" s="1767">
        <f t="shared" si="7"/>
        <v>0</v>
      </c>
      <c r="BE24" s="1891"/>
      <c r="BF24" s="964"/>
      <c r="BG24" s="1731" t="str">
        <f t="shared" si="49"/>
        <v>нет</v>
      </c>
      <c r="BH24" s="1889"/>
      <c r="BI24" s="1889"/>
      <c r="BJ24" s="61" t="str">
        <f t="shared" si="50"/>
        <v>нет</v>
      </c>
      <c r="BK24" s="673" t="str">
        <f t="shared" si="51"/>
        <v>нет</v>
      </c>
      <c r="BL24" s="1890"/>
      <c r="BM24" s="1890"/>
      <c r="BN24" s="61" t="str">
        <f t="shared" si="8"/>
        <v>нет</v>
      </c>
      <c r="BO24" s="673" t="str">
        <f t="shared" si="9"/>
        <v>нет</v>
      </c>
      <c r="BP24" s="480" t="e">
        <f>SUM('НУ(Публикации)'!D64:D68)/COUNT('НУ(Публикации)'!D64:D68)</f>
        <v>#DIV/0!</v>
      </c>
      <c r="BQ24" s="541">
        <v>100</v>
      </c>
      <c r="BR24" s="673" t="e">
        <f t="shared" si="10"/>
        <v>#DIV/0!</v>
      </c>
      <c r="BS24" s="903"/>
      <c r="BT24" s="61">
        <v>1</v>
      </c>
      <c r="BU24" s="1767">
        <f t="shared" si="12"/>
        <v>0</v>
      </c>
      <c r="BV24" s="903"/>
      <c r="BW24" s="61">
        <v>2</v>
      </c>
      <c r="BX24" s="1767">
        <f t="shared" si="25"/>
        <v>0</v>
      </c>
      <c r="BY24" s="1763">
        <f t="array" ref="BY24">SUM(IF('НУ(Финансы)'!$B$20:$B$77=ИНСТИТУТ!D24,'НУ(Финансы)'!$E$20:$E$77,0))</f>
        <v>0</v>
      </c>
      <c r="BZ24" s="1764">
        <f t="array" ref="BZ24">SUM(IF('НУ(Финансы)'!$B$20:$B$77=ИНСТИТУТ!D24,'НУ(Финансы)'!$F$20:$F$77,0))</f>
        <v>0</v>
      </c>
      <c r="CA24" s="1767">
        <f t="shared" si="26"/>
        <v>0</v>
      </c>
      <c r="CB24" s="480">
        <f>SUM(Кадры!N64:N68)</f>
        <v>0</v>
      </c>
      <c r="CC24" s="480">
        <f>SUM(Кадры!J64:J68)</f>
        <v>0</v>
      </c>
      <c r="CD24" s="673" t="str">
        <f t="shared" si="27"/>
        <v>нет</v>
      </c>
      <c r="CE24" s="480">
        <f>SUM(Кадры!D64:D68)</f>
        <v>0</v>
      </c>
      <c r="CF24" s="480">
        <f>SUM(Кадры!F64:F68)</f>
        <v>0</v>
      </c>
      <c r="CG24" s="673" t="str">
        <f t="shared" si="52"/>
        <v>нет</v>
      </c>
      <c r="CH24" s="903"/>
      <c r="CI24" s="61">
        <v>1</v>
      </c>
      <c r="CJ24" s="1767">
        <f t="shared" si="14"/>
        <v>0</v>
      </c>
      <c r="CK24" s="903"/>
      <c r="CL24" s="61">
        <v>9</v>
      </c>
      <c r="CM24" s="1767">
        <f t="shared" si="15"/>
        <v>0</v>
      </c>
      <c r="CO24" s="483" t="s">
        <v>114</v>
      </c>
      <c r="CP24" s="151">
        <v>14</v>
      </c>
      <c r="CS24" s="93" t="e">
        <f t="array" ref="CS24">SUM(IF($F24:$CM24=нет,0,IF($F24:$CM24&gt;=$F$16:$CM$16,$F$16:$CM$16,IF($F24:$CM24&lt;$F$17:$CM$17,0,$F24:$CM24)))*$F$11:$CM$11*($F$108:$CM$108=CS$4)/$F$16:$CM$16*($F$110:$CM$143*($B$110:$B$143=$B24)*($A$110:$A$143=$A$108)))</f>
        <v>#DIV/0!</v>
      </c>
      <c r="CT24" s="93" t="e">
        <f t="array" ref="CT24">SUM(IF($F24:$CM24=нет,0,IF($F24:$CM24&gt;=$F$16:$CM$16,$F$16:$CM$16,IF($F24:$CM24&lt;$F$17:$CM$17,0,$F24:$CM24)))*$F$11:$CM$11*($F$108:$CM$108=CT$4)/$F$16:$CM$16*($F$110:$CM$143*($B$110:$B$143=$B24)*($A$110:$A$143=$A$108)))</f>
        <v>#DIV/0!</v>
      </c>
      <c r="CU24" s="93" t="e">
        <f t="array" ref="CU24">SUM(IF($F24:$CM24=нет,0,IF($F24:$CM24&gt;=$F$16:$CM$16,$F$16:$CM$16,IF($F24:$CM24&lt;$F$17:$CM$17,0,$F24:$CM24)))*$F$11:$CM$11*($F$109:$CM$109=CU$4)/$F$16:$CM$16*($F$110:$CM$143*($B$110:$B$143=$B24)*($A$110:$A$143=$A$108)))</f>
        <v>#DIV/0!</v>
      </c>
      <c r="CV24" s="93" t="e">
        <f t="array" ref="CV24">SUM(IF($F24:$CM24=нет,0,IF($F24:$CM24&gt;=$F$16:$CM$16,$F$16:$CM$16,IF($F24:$CM24&lt;$F$17:$CM$17,0,$F24:$CM24)))*$F$11:$CM$11*($F$108:$CM$108=CV$4)/$F$16:$CM$16*($F$110:$CM$143*($B$110:$B$143=$B24)*($A$110:$A$143=$A$108)))</f>
        <v>#DIV/0!</v>
      </c>
      <c r="CW24" s="93" t="e">
        <f t="array" ref="CW24">SUM(IF($F24:$CM24=нет,0,IF($F24:$CM24&gt;=$F$16:$CM$16,$F$16:$CM$16,IF($F24:$CM24&lt;$F$17:$CM$17,0,$F24:$CM24)))*$F$11:$CM$11*($F$108:$CM$108=CW$4)/$F$16:$CM$16*($F$110:$CM$143*($B$110:$B$143=$B24)*($A$110:$A$143=$A$108)))</f>
        <v>#DIV/0!</v>
      </c>
      <c r="CX24" s="93" t="e">
        <f t="array" ref="CX24">SUM(IF($F24:$CM24=нет,0,IF($F24:$CM24&gt;=$F$16:$CM$16,$F$16:$CM$16,IF($F24:$CM24&lt;$F$17:$CM$17,0,$F24:$CM24)))*$F$11:$CM$11*($F$108:$CM$108=CX$4)/$F$16:$CM$16*($F$110:$CM$143*($B$110:$B$143=$B24)*($A$110:$A$143=$A$108)))</f>
        <v>#DIV/0!</v>
      </c>
      <c r="CY24" s="93" t="e">
        <f t="array" ref="CY24">SUM(IF($F24:$CM24=нет,0,IF($F24:$CM24&gt;=$F$16:$CM$16,$F$16:$CM$16,IF($F24:$CM24&lt;$F$17:$CM$17,0,$F24:$CM24)))*$F$11:$CM$11*($F$108:$CM$108=CY$4)/$F$16:$CM$16*($F$110:$CM$143*($B$110:$B$143=$B24)*($A$110:$A$143=$A$108)))</f>
        <v>#DIV/0!</v>
      </c>
      <c r="CZ24" s="93" t="e">
        <f t="array" ref="CZ24">SUM(IF($F24:$CM24=нет,0,IF($F24:$CM24&gt;=$F$16:$CM$16,$F$16:$CM$16,IF($F24:$CM24&lt;$F$17:$CM$17,0,$F24:$CM24)))*$F$11:$CM$11*($F$108:$CM$108=CZ$4)/$F$16:$CM$16*($F$110:$CM$143*($B$110:$B$143=$B24)*($A$110:$A$143=$A$108)))</f>
        <v>#DIV/0!</v>
      </c>
      <c r="DB24" s="94" t="e">
        <f t="array" ref="DB24">SUM(IF($F24:$CM24=нет,0,100)*$F$11:$CM$11*($F$108:$CM$108=DB$4)/100*($F$110:$CM$143*($B$110:$B$143=$B24)*($A$110:$A$143=$A$108)))</f>
        <v>#DIV/0!</v>
      </c>
      <c r="DC24" s="94" t="e">
        <f t="array" ref="DC24">SUM(IF($F24:$CM24=нет,0,100)*$F$11:$CM$11*($F$108:$CM$108=DC$4)/100*($F$110:$CM$143*($B$110:$B$143=$B24)*($A$110:$A$143=$A$108)))</f>
        <v>#DIV/0!</v>
      </c>
      <c r="DD24" s="94" t="e">
        <f t="array" ref="DD24">SUM(IF($F24:$CM24=нет,0,100)*$F$11:$CM$11*($F$109:$CM$109=DD$4)/100*($F$110:$CM$143*($B$110:$B$143=$B24)*($A$110:$A$143=$A$108)))</f>
        <v>#DIV/0!</v>
      </c>
      <c r="DE24" s="94" t="e">
        <f t="array" ref="DE24">SUM(IF($F24:$CM24=нет,0,100)*$F$11:$CM$11*($F$108:$CM$108=DE$4)/100*($F$110:$CM$143*($B$110:$B$143=$B24)*($A$110:$A$143=$A$108)))</f>
        <v>#DIV/0!</v>
      </c>
      <c r="DF24" s="94" t="e">
        <f t="array" ref="DF24">SUM(IF($F24:$CM24=нет,0,100)*$F$11:$CM$11*($F$108:$CM$108=DF$4)/100*($F$110:$CM$143*($B$110:$B$143=$B24)*($A$110:$A$143=$A$108)))</f>
        <v>#DIV/0!</v>
      </c>
      <c r="DG24" s="94" t="e">
        <f t="array" ref="DG24">SUM(IF($F24:$CM24=нет,0,100)*$F$11:$CM$11*($F$108:$CM$108=DG$4)/100*($F$110:$CM$143*($B$110:$B$143=$B24)*($A$110:$A$143=$A$108)))</f>
        <v>#DIV/0!</v>
      </c>
      <c r="DH24" s="94" t="e">
        <f t="array" ref="DH24">SUM(IF($F24:$CM24=нет,0,100)*$F$11:$CM$11*($F$108:$CM$108=DH$4)/100*($F$110:$CM$143*($B$110:$B$143=$B24)*($A$110:$A$143=$A$108)))</f>
        <v>#DIV/0!</v>
      </c>
      <c r="DI24" s="94" t="e">
        <f t="array" ref="DI24">SUM(IF($F24:$CM24=нет,0,100)*$F$11:$CM$11*($F$108:$CM$108=DI$4)/100*($F$110:$CM$143*($B$110:$B$143=$B24)*($A$110:$A$143=$A$108)))</f>
        <v>#DIV/0!</v>
      </c>
      <c r="DK24" s="95" t="e">
        <f t="shared" si="28"/>
        <v>#DIV/0!</v>
      </c>
      <c r="DL24" s="95" t="e">
        <f t="shared" si="29"/>
        <v>#DIV/0!</v>
      </c>
      <c r="DM24" s="90" t="e">
        <f t="shared" si="30"/>
        <v>#DIV/0!</v>
      </c>
      <c r="DO24" s="95" t="e">
        <f t="shared" si="31"/>
        <v>#DIV/0!</v>
      </c>
      <c r="DP24" s="95" t="e">
        <f t="shared" si="32"/>
        <v>#DIV/0!</v>
      </c>
      <c r="DQ24" s="90" t="e">
        <f t="shared" si="33"/>
        <v>#DIV/0!</v>
      </c>
      <c r="DS24" s="168" t="e">
        <f t="shared" si="34"/>
        <v>#DIV/0!</v>
      </c>
      <c r="DT24" s="168" t="e">
        <f t="shared" si="35"/>
        <v>#DIV/0!</v>
      </c>
      <c r="DU24" s="168" t="e">
        <f t="shared" si="36"/>
        <v>#DIV/0!</v>
      </c>
      <c r="DV24" s="168" t="e">
        <f t="shared" si="37"/>
        <v>#DIV/0!</v>
      </c>
      <c r="DW24" s="168" t="e">
        <f t="shared" si="38"/>
        <v>#DIV/0!</v>
      </c>
      <c r="DX24" s="168" t="e">
        <f t="shared" si="39"/>
        <v>#DIV/0!</v>
      </c>
      <c r="DY24" s="168" t="e">
        <f t="shared" si="40"/>
        <v>#DIV/0!</v>
      </c>
      <c r="DZ24" s="168" t="e">
        <f t="shared" si="41"/>
        <v>#DIV/0!</v>
      </c>
      <c r="EA24" s="92" t="str">
        <f t="shared" si="17"/>
        <v>Институт фармации</v>
      </c>
      <c r="EB24" s="31" t="str">
        <f t="shared" si="42"/>
        <v>ФАРМ</v>
      </c>
      <c r="EC24" s="168" t="e">
        <f t="shared" si="43"/>
        <v>#DIV/0!</v>
      </c>
      <c r="EE24" s="31">
        <f t="shared" si="44"/>
        <v>0</v>
      </c>
    </row>
    <row r="25" spans="1:135" ht="18" x14ac:dyDescent="0.25">
      <c r="A25" s="163" t="s">
        <v>316</v>
      </c>
      <c r="B25" s="97" t="s">
        <v>176</v>
      </c>
      <c r="C25" s="139">
        <f t="array" ref="C25">SUM(IF(КАФЕДРА!$D$20:$D$75=$D25,КАФЕДРА!$C$20:$C$75,0))</f>
        <v>0</v>
      </c>
      <c r="D25" s="139" t="str">
        <f t="shared" si="18"/>
        <v>КПСИХОЛОГИИ</v>
      </c>
      <c r="E25" s="157" t="s">
        <v>31</v>
      </c>
      <c r="F25" s="905"/>
      <c r="G25" s="57">
        <v>2</v>
      </c>
      <c r="H25" s="101">
        <f t="shared" si="45"/>
        <v>0</v>
      </c>
      <c r="I25" s="901"/>
      <c r="J25" s="901"/>
      <c r="K25" s="101" t="str">
        <f t="shared" si="19"/>
        <v>нет</v>
      </c>
      <c r="L25" s="902"/>
      <c r="M25" s="902"/>
      <c r="N25" s="101" t="str">
        <f t="shared" si="20"/>
        <v>нет</v>
      </c>
      <c r="O25" s="903"/>
      <c r="P25" s="408">
        <v>100</v>
      </c>
      <c r="Q25" s="101">
        <f t="shared" si="21"/>
        <v>0</v>
      </c>
      <c r="R25" s="100"/>
      <c r="S25" s="905"/>
      <c r="T25" s="100"/>
      <c r="U25" s="905"/>
      <c r="V25" s="101" t="str">
        <f t="shared" si="46"/>
        <v>нет</v>
      </c>
      <c r="W25" s="905"/>
      <c r="X25" s="905"/>
      <c r="Y25" s="905"/>
      <c r="Z25" s="905"/>
      <c r="AA25" s="101" t="str">
        <f t="shared" si="47"/>
        <v>нет</v>
      </c>
      <c r="AB25" s="905"/>
      <c r="AC25" s="905"/>
      <c r="AD25" s="905"/>
      <c r="AE25" s="905"/>
      <c r="AF25" s="101" t="str">
        <f t="shared" si="48"/>
        <v>нет</v>
      </c>
      <c r="AG25" s="100"/>
      <c r="AH25" s="100"/>
      <c r="AI25" s="101" t="str">
        <f t="shared" si="22"/>
        <v>нет</v>
      </c>
      <c r="AJ25" s="905"/>
      <c r="AK25" s="905"/>
      <c r="AL25" s="101" t="str">
        <f t="shared" si="23"/>
        <v>нет</v>
      </c>
      <c r="AM25" s="905"/>
      <c r="AN25" s="905"/>
      <c r="AO25" s="101" t="str">
        <f t="shared" si="24"/>
        <v>нет</v>
      </c>
      <c r="AP25" s="946"/>
      <c r="AQ25" s="946"/>
      <c r="AR25" s="101" t="str">
        <f t="shared" si="2"/>
        <v>нет</v>
      </c>
      <c r="AS25" s="946"/>
      <c r="AT25" s="946"/>
      <c r="AU25" s="101" t="str">
        <f t="shared" si="3"/>
        <v>нет</v>
      </c>
      <c r="AV25" s="900">
        <f>SUM(КАФЕДРА!AB69:AB73)</f>
        <v>0</v>
      </c>
      <c r="AW25" s="900">
        <f>SUM(КАФЕДРА!AC69:AC73)</f>
        <v>0</v>
      </c>
      <c r="AX25" s="101" t="str">
        <f t="shared" si="4"/>
        <v>нет</v>
      </c>
      <c r="AY25" s="903"/>
      <c r="AZ25" s="61">
        <v>10</v>
      </c>
      <c r="BA25" s="1767">
        <f t="shared" si="6"/>
        <v>0</v>
      </c>
      <c r="BB25" s="903"/>
      <c r="BC25" s="61">
        <v>3</v>
      </c>
      <c r="BD25" s="1767">
        <f t="shared" si="7"/>
        <v>0</v>
      </c>
      <c r="BE25" s="1891"/>
      <c r="BF25" s="964"/>
      <c r="BG25" s="1731" t="str">
        <f t="shared" si="49"/>
        <v>нет</v>
      </c>
      <c r="BH25" s="1889"/>
      <c r="BI25" s="1889"/>
      <c r="BJ25" s="61" t="str">
        <f t="shared" si="50"/>
        <v>нет</v>
      </c>
      <c r="BK25" s="673" t="str">
        <f t="shared" si="51"/>
        <v>нет</v>
      </c>
      <c r="BL25" s="1890"/>
      <c r="BM25" s="1890"/>
      <c r="BN25" s="61" t="str">
        <f t="shared" si="8"/>
        <v>нет</v>
      </c>
      <c r="BO25" s="673" t="str">
        <f t="shared" si="9"/>
        <v>нет</v>
      </c>
      <c r="BP25" s="480" t="e">
        <f>SUM('НУ(Публикации)'!D69:D73)/COUNT('НУ(Публикации)'!D69:D73)</f>
        <v>#DIV/0!</v>
      </c>
      <c r="BQ25" s="541">
        <v>100</v>
      </c>
      <c r="BR25" s="673" t="e">
        <f t="shared" si="10"/>
        <v>#DIV/0!</v>
      </c>
      <c r="BS25" s="903"/>
      <c r="BT25" s="61">
        <v>1</v>
      </c>
      <c r="BU25" s="1767">
        <f t="shared" si="12"/>
        <v>0</v>
      </c>
      <c r="BV25" s="903"/>
      <c r="BW25" s="61">
        <v>2</v>
      </c>
      <c r="BX25" s="1767">
        <f t="shared" si="25"/>
        <v>0</v>
      </c>
      <c r="BY25" s="1763">
        <f t="array" ref="BY25">SUM(IF('НУ(Финансы)'!$B$20:$B$77=ИНСТИТУТ!D25,'НУ(Финансы)'!$E$20:$E$77,0))</f>
        <v>0</v>
      </c>
      <c r="BZ25" s="1764">
        <f t="array" ref="BZ25">SUM(IF('НУ(Финансы)'!$B$20:$B$77=ИНСТИТУТ!D25,'НУ(Финансы)'!$F$20:$F$77,0))</f>
        <v>0</v>
      </c>
      <c r="CA25" s="1767">
        <f t="shared" si="26"/>
        <v>0</v>
      </c>
      <c r="CB25" s="480">
        <f>SUM(Кадры!N69:N73)</f>
        <v>0</v>
      </c>
      <c r="CC25" s="480">
        <f>SUM(Кадры!J69:J73)</f>
        <v>0</v>
      </c>
      <c r="CD25" s="673" t="str">
        <f t="shared" si="27"/>
        <v>нет</v>
      </c>
      <c r="CE25" s="480">
        <f>SUM(Кадры!D69:D73)</f>
        <v>0</v>
      </c>
      <c r="CF25" s="480">
        <f>SUM(Кадры!F69:F73)</f>
        <v>0</v>
      </c>
      <c r="CG25" s="673" t="str">
        <f t="shared" si="52"/>
        <v>нет</v>
      </c>
      <c r="CH25" s="903"/>
      <c r="CI25" s="61">
        <v>1</v>
      </c>
      <c r="CJ25" s="1767">
        <f t="shared" si="14"/>
        <v>0</v>
      </c>
      <c r="CK25" s="903"/>
      <c r="CL25" s="61">
        <v>7</v>
      </c>
      <c r="CM25" s="1767">
        <f t="shared" si="15"/>
        <v>0</v>
      </c>
      <c r="CO25" s="484" t="s">
        <v>334</v>
      </c>
      <c r="CP25" s="151">
        <v>15</v>
      </c>
      <c r="CS25" s="93" t="e">
        <f t="array" ref="CS25">SUM(IF($F25:$CM25=нет,0,IF($F25:$CM25&gt;=$F$16:$CM$16,$F$16:$CM$16,IF($F25:$CM25&lt;$F$17:$CM$17,0,$F25:$CM25)))*$F$11:$CM$11*($F$108:$CM$108=CS$4)/$F$16:$CM$16*($F$110:$CM$143*($B$110:$B$143=$B25)*($A$110:$A$143=$A$108)))</f>
        <v>#DIV/0!</v>
      </c>
      <c r="CT25" s="93" t="e">
        <f t="array" ref="CT25">SUM(IF($F25:$CM25=нет,0,IF($F25:$CM25&gt;=$F$16:$CM$16,$F$16:$CM$16,IF($F25:$CM25&lt;$F$17:$CM$17,0,$F25:$CM25)))*$F$11:$CM$11*($F$108:$CM$108=CT$4)/$F$16:$CM$16*($F$110:$CM$143*($B$110:$B$143=$B25)*($A$110:$A$143=$A$108)))</f>
        <v>#DIV/0!</v>
      </c>
      <c r="CU25" s="93" t="e">
        <f t="array" ref="CU25">SUM(IF($F25:$CM25=нет,0,IF($F25:$CM25&gt;=$F$16:$CM$16,$F$16:$CM$16,IF($F25:$CM25&lt;$F$17:$CM$17,0,$F25:$CM25)))*$F$11:$CM$11*($F$109:$CM$109=CU$4)/$F$16:$CM$16*($F$110:$CM$143*($B$110:$B$143=$B25)*($A$110:$A$143=$A$108)))</f>
        <v>#DIV/0!</v>
      </c>
      <c r="CV25" s="93" t="e">
        <f t="array" ref="CV25">SUM(IF($F25:$CM25=нет,0,IF($F25:$CM25&gt;=$F$16:$CM$16,$F$16:$CM$16,IF($F25:$CM25&lt;$F$17:$CM$17,0,$F25:$CM25)))*$F$11:$CM$11*($F$108:$CM$108=CV$4)/$F$16:$CM$16*($F$110:$CM$143*($B$110:$B$143=$B25)*($A$110:$A$143=$A$108)))</f>
        <v>#DIV/0!</v>
      </c>
      <c r="CW25" s="93" t="e">
        <f t="array" ref="CW25">SUM(IF($F25:$CM25=нет,0,IF($F25:$CM25&gt;=$F$16:$CM$16,$F$16:$CM$16,IF($F25:$CM25&lt;$F$17:$CM$17,0,$F25:$CM25)))*$F$11:$CM$11*($F$108:$CM$108=CW$4)/$F$16:$CM$16*($F$110:$CM$143*($B$110:$B$143=$B25)*($A$110:$A$143=$A$108)))</f>
        <v>#DIV/0!</v>
      </c>
      <c r="CX25" s="93" t="e">
        <f t="array" ref="CX25">SUM(IF($F25:$CM25=нет,0,IF($F25:$CM25&gt;=$F$16:$CM$16,$F$16:$CM$16,IF($F25:$CM25&lt;$F$17:$CM$17,0,$F25:$CM25)))*$F$11:$CM$11*($F$108:$CM$108=CX$4)/$F$16:$CM$16*($F$110:$CM$143*($B$110:$B$143=$B25)*($A$110:$A$143=$A$108)))</f>
        <v>#DIV/0!</v>
      </c>
      <c r="CY25" s="93" t="e">
        <f t="array" ref="CY25">SUM(IF($F25:$CM25=нет,0,IF($F25:$CM25&gt;=$F$16:$CM$16,$F$16:$CM$16,IF($F25:$CM25&lt;$F$17:$CM$17,0,$F25:$CM25)))*$F$11:$CM$11*($F$108:$CM$108=CY$4)/$F$16:$CM$16*($F$110:$CM$143*($B$110:$B$143=$B25)*($A$110:$A$143=$A$108)))</f>
        <v>#DIV/0!</v>
      </c>
      <c r="CZ25" s="93" t="e">
        <f t="array" ref="CZ25">SUM(IF($F25:$CM25=нет,0,IF($F25:$CM25&gt;=$F$16:$CM$16,$F$16:$CM$16,IF($F25:$CM25&lt;$F$17:$CM$17,0,$F25:$CM25)))*$F$11:$CM$11*($F$108:$CM$108=CZ$4)/$F$16:$CM$16*($F$110:$CM$143*($B$110:$B$143=$B25)*($A$110:$A$143=$A$108)))</f>
        <v>#DIV/0!</v>
      </c>
      <c r="DB25" s="94" t="e">
        <f t="array" ref="DB25">SUM(IF($F25:$CM25=нет,0,100)*$F$11:$CM$11*($F$108:$CM$108=DB$4)/100*($F$110:$CM$143*($B$110:$B$143=$B25)*($A$110:$A$143=$A$108)))</f>
        <v>#DIV/0!</v>
      </c>
      <c r="DC25" s="94" t="e">
        <f t="array" ref="DC25">SUM(IF($F25:$CM25=нет,0,100)*$F$11:$CM$11*($F$108:$CM$108=DC$4)/100*($F$110:$CM$143*($B$110:$B$143=$B25)*($A$110:$A$143=$A$108)))</f>
        <v>#DIV/0!</v>
      </c>
      <c r="DD25" s="94" t="e">
        <f t="array" ref="DD25">SUM(IF($F25:$CM25=нет,0,100)*$F$11:$CM$11*($F$109:$CM$109=DD$4)/100*($F$110:$CM$143*($B$110:$B$143=$B25)*($A$110:$A$143=$A$108)))</f>
        <v>#DIV/0!</v>
      </c>
      <c r="DE25" s="94" t="e">
        <f t="array" ref="DE25">SUM(IF($F25:$CM25=нет,0,100)*$F$11:$CM$11*($F$108:$CM$108=DE$4)/100*($F$110:$CM$143*($B$110:$B$143=$B25)*($A$110:$A$143=$A$108)))</f>
        <v>#DIV/0!</v>
      </c>
      <c r="DF25" s="94" t="e">
        <f t="array" ref="DF25">SUM(IF($F25:$CM25=нет,0,100)*$F$11:$CM$11*($F$108:$CM$108=DF$4)/100*($F$110:$CM$143*($B$110:$B$143=$B25)*($A$110:$A$143=$A$108)))</f>
        <v>#DIV/0!</v>
      </c>
      <c r="DG25" s="94" t="e">
        <f t="array" ref="DG25">SUM(IF($F25:$CM25=нет,0,100)*$F$11:$CM$11*($F$108:$CM$108=DG$4)/100*($F$110:$CM$143*($B$110:$B$143=$B25)*($A$110:$A$143=$A$108)))</f>
        <v>#DIV/0!</v>
      </c>
      <c r="DH25" s="94" t="e">
        <f t="array" ref="DH25">SUM(IF($F25:$CM25=нет,0,100)*$F$11:$CM$11*($F$108:$CM$108=DH$4)/100*($F$110:$CM$143*($B$110:$B$143=$B25)*($A$110:$A$143=$A$108)))</f>
        <v>#DIV/0!</v>
      </c>
      <c r="DI25" s="94" t="e">
        <f t="array" ref="DI25">SUM(IF($F25:$CM25=нет,0,100)*$F$11:$CM$11*($F$108:$CM$108=DI$4)/100*($F$110:$CM$143*($B$110:$B$143=$B25)*($A$110:$A$143=$A$108)))</f>
        <v>#DIV/0!</v>
      </c>
      <c r="DK25" s="95" t="e">
        <f t="shared" si="28"/>
        <v>#DIV/0!</v>
      </c>
      <c r="DL25" s="95" t="e">
        <f t="shared" si="29"/>
        <v>#DIV/0!</v>
      </c>
      <c r="DM25" s="90" t="e">
        <f t="shared" si="30"/>
        <v>#DIV/0!</v>
      </c>
      <c r="DO25" s="95" t="e">
        <f t="shared" si="31"/>
        <v>#DIV/0!</v>
      </c>
      <c r="DP25" s="95" t="e">
        <f t="shared" si="32"/>
        <v>#DIV/0!</v>
      </c>
      <c r="DQ25" s="90" t="e">
        <f t="shared" si="33"/>
        <v>#DIV/0!</v>
      </c>
      <c r="DS25" s="168" t="e">
        <f t="shared" si="34"/>
        <v>#DIV/0!</v>
      </c>
      <c r="DT25" s="168" t="e">
        <f t="shared" si="35"/>
        <v>#DIV/0!</v>
      </c>
      <c r="DU25" s="168" t="e">
        <f t="shared" si="36"/>
        <v>#DIV/0!</v>
      </c>
      <c r="DV25" s="168" t="e">
        <f t="shared" si="37"/>
        <v>#DIV/0!</v>
      </c>
      <c r="DW25" s="168" t="e">
        <f t="shared" si="38"/>
        <v>#DIV/0!</v>
      </c>
      <c r="DX25" s="168" t="e">
        <f t="shared" si="39"/>
        <v>#DIV/0!</v>
      </c>
      <c r="DY25" s="168" t="e">
        <f t="shared" si="40"/>
        <v>#DIV/0!</v>
      </c>
      <c r="DZ25" s="168" t="e">
        <f t="shared" si="41"/>
        <v>#DIV/0!</v>
      </c>
      <c r="EA25" s="92" t="str">
        <f t="shared" si="17"/>
        <v>Институт клинической психологии</v>
      </c>
      <c r="EB25" s="31" t="str">
        <f t="shared" si="42"/>
        <v>КПСИХОЛОГИИ</v>
      </c>
      <c r="EC25" s="168" t="e">
        <f t="shared" si="43"/>
        <v>#DIV/0!</v>
      </c>
      <c r="EE25" s="31">
        <f t="shared" si="44"/>
        <v>0</v>
      </c>
    </row>
    <row r="26" spans="1:135" ht="18" x14ac:dyDescent="0.25">
      <c r="A26" s="163" t="s">
        <v>403</v>
      </c>
      <c r="B26" s="97" t="s">
        <v>176</v>
      </c>
      <c r="C26" s="139">
        <f t="array" ref="C26">SUM(IF(КАФЕДРА!$D$20:$D$75=$D26,КАФЕДРА!$C$20:$C$75,0))</f>
        <v>0</v>
      </c>
      <c r="D26" s="139" t="str">
        <f t="shared" si="18"/>
        <v>СПО</v>
      </c>
      <c r="E26" s="157" t="s">
        <v>31</v>
      </c>
      <c r="F26" s="905"/>
      <c r="G26" s="57"/>
      <c r="H26" s="101" t="str">
        <f t="shared" si="45"/>
        <v>нет</v>
      </c>
      <c r="I26" s="100"/>
      <c r="J26" s="100"/>
      <c r="K26" s="101" t="str">
        <f>IF(J26=0,"нет",I26/J26*100)</f>
        <v>нет</v>
      </c>
      <c r="L26" s="902"/>
      <c r="M26" s="902"/>
      <c r="N26" s="101" t="str">
        <f>IF(M26=0,"нет",L26/M26*100)</f>
        <v>нет</v>
      </c>
      <c r="O26" s="381"/>
      <c r="P26" s="408">
        <v>100</v>
      </c>
      <c r="Q26" s="101">
        <f>IF(P26=0,"нет",O26/P26*100)</f>
        <v>0</v>
      </c>
      <c r="R26" s="100"/>
      <c r="S26" s="905"/>
      <c r="T26" s="100"/>
      <c r="U26" s="905"/>
      <c r="V26" s="101" t="str">
        <f t="shared" si="46"/>
        <v>нет</v>
      </c>
      <c r="W26" s="905"/>
      <c r="X26" s="905"/>
      <c r="Y26" s="905"/>
      <c r="Z26" s="905"/>
      <c r="AA26" s="101" t="str">
        <f>IF(Z26=0,"нет",SUM(W26:X26,-Y26)/Z26*100)</f>
        <v>нет</v>
      </c>
      <c r="AB26" s="905"/>
      <c r="AC26" s="905"/>
      <c r="AD26" s="905"/>
      <c r="AE26" s="905"/>
      <c r="AF26" s="101" t="str">
        <f t="shared" si="48"/>
        <v>нет</v>
      </c>
      <c r="AG26" s="100"/>
      <c r="AH26" s="100"/>
      <c r="AI26" s="101" t="str">
        <f>IF(AH26=0,"нет",AG26/AH26*100)</f>
        <v>нет</v>
      </c>
      <c r="AJ26" s="905"/>
      <c r="AK26" s="905"/>
      <c r="AL26" s="101" t="str">
        <f>IF(AK26=0,"нет",AJ26/AK26*100)</f>
        <v>нет</v>
      </c>
      <c r="AM26" s="905"/>
      <c r="AN26" s="905"/>
      <c r="AO26" s="101" t="str">
        <f t="shared" si="24"/>
        <v>нет</v>
      </c>
      <c r="AP26" s="946"/>
      <c r="AQ26" s="946"/>
      <c r="AR26" s="101" t="str">
        <f>IF((AQ26&gt;0),AP26/AQ26*100,нет)</f>
        <v>нет</v>
      </c>
      <c r="AS26" s="946"/>
      <c r="AT26" s="946"/>
      <c r="AU26" s="101" t="str">
        <f t="shared" si="3"/>
        <v>нет</v>
      </c>
      <c r="AV26" s="900">
        <f>КАФЕДРА!AB63</f>
        <v>0</v>
      </c>
      <c r="AW26" s="900">
        <f>КАФЕДРА!AC63</f>
        <v>0</v>
      </c>
      <c r="AX26" s="101" t="str">
        <f t="shared" si="4"/>
        <v>нет</v>
      </c>
      <c r="AY26" s="903"/>
      <c r="AZ26" s="61"/>
      <c r="BA26" s="1767" t="str">
        <f>IF(AZ26&gt;0, AY26/AZ26*100, нет)</f>
        <v>нет</v>
      </c>
      <c r="BB26" s="903"/>
      <c r="BC26" s="61"/>
      <c r="BD26" s="1767" t="str">
        <f>IF(BC26&gt;0, BB26/BC26*100, нет)</f>
        <v>нет</v>
      </c>
      <c r="BE26" s="1891"/>
      <c r="BF26" s="964"/>
      <c r="BG26" s="1731" t="str">
        <f>IF(BF26&lt;&gt;0,BE26/BF26*100,IF(BE26&gt;0,100,нет))</f>
        <v>нет</v>
      </c>
      <c r="BH26" s="1889"/>
      <c r="BI26" s="1889"/>
      <c r="BJ26" s="61" t="str">
        <f t="shared" si="50"/>
        <v>нет</v>
      </c>
      <c r="BK26" s="673" t="str">
        <f t="shared" si="51"/>
        <v>нет</v>
      </c>
      <c r="BL26" s="1890"/>
      <c r="BM26" s="1890"/>
      <c r="BN26" s="61" t="str">
        <f t="shared" si="8"/>
        <v>нет</v>
      </c>
      <c r="BO26" s="673" t="str">
        <f t="shared" si="9"/>
        <v>нет</v>
      </c>
      <c r="BP26" s="480" t="e">
        <f>'НУ(Публикации)'!D63</f>
        <v>#DIV/0!</v>
      </c>
      <c r="BQ26" s="541">
        <v>100</v>
      </c>
      <c r="BR26" s="673" t="e">
        <f>IF(BQ26=0,"нет",BP26/BQ26*100)</f>
        <v>#DIV/0!</v>
      </c>
      <c r="BS26" s="903"/>
      <c r="BT26" s="61"/>
      <c r="BU26" s="1767" t="str">
        <f t="shared" si="12"/>
        <v>нет</v>
      </c>
      <c r="BV26" s="903"/>
      <c r="BW26" s="61"/>
      <c r="BX26" s="1767" t="str">
        <f t="shared" si="25"/>
        <v>нет</v>
      </c>
      <c r="BY26" s="1763">
        <f t="array" ref="BY26">SUM(IF('НУ(Финансы)'!$B$20:$B$77=ИНСТИТУТ!D26,'НУ(Финансы)'!$E$20:$E$77,0))</f>
        <v>0</v>
      </c>
      <c r="BZ26" s="1764">
        <f t="array" ref="BZ26">SUM(IF('НУ(Финансы)'!$B$20:$B$77=ИНСТИТУТ!D26,'НУ(Финансы)'!$F$20:$F$77,0))</f>
        <v>0</v>
      </c>
      <c r="CA26" s="1767">
        <f t="shared" si="26"/>
        <v>0</v>
      </c>
      <c r="CB26" s="480">
        <f>SUM(Кадры!N63)</f>
        <v>0</v>
      </c>
      <c r="CC26" s="480">
        <f>SUM(Кадры!J63)</f>
        <v>0</v>
      </c>
      <c r="CD26" s="673" t="str">
        <f t="shared" si="27"/>
        <v>нет</v>
      </c>
      <c r="CE26" s="480">
        <f>SUM(Кадры!D63)</f>
        <v>0</v>
      </c>
      <c r="CF26" s="480">
        <f>SUM(Кадры!F63)</f>
        <v>0</v>
      </c>
      <c r="CG26" s="673" t="str">
        <f t="shared" si="52"/>
        <v>нет</v>
      </c>
      <c r="CH26" s="903"/>
      <c r="CI26" s="61"/>
      <c r="CJ26" s="1767" t="str">
        <f t="shared" si="14"/>
        <v>нет</v>
      </c>
      <c r="CK26" s="903"/>
      <c r="CL26" s="61"/>
      <c r="CM26" s="1767" t="str">
        <f t="shared" si="15"/>
        <v>нет</v>
      </c>
      <c r="CO26" s="47" t="s">
        <v>404</v>
      </c>
      <c r="CP26" s="151">
        <v>15</v>
      </c>
      <c r="CS26" s="93" t="e">
        <f t="array" ref="CS26">SUM(IF($F26:$CM26=нет,0,IF($F26:$CM26&gt;=$F$16:$CM$16,$F$16:$CM$16,IF($F26:$CM26&lt;$F$17:$CM$17,0,$F26:$CM26)))*$F$11:$CM$11*($F$108:$CM$108=CS$4)/$F$16:$CM$16*($F$110:$CM$143*($B$110:$B$143=$B26)*($A$110:$A$143=$A$108)))</f>
        <v>#DIV/0!</v>
      </c>
      <c r="CT26" s="93" t="e">
        <f t="array" ref="CT26">SUM(IF($F26:$CM26=нет,0,IF($F26:$CM26&gt;=$F$16:$CM$16,$F$16:$CM$16,IF($F26:$CM26&lt;$F$17:$CM$17,0,$F26:$CM26)))*$F$11:$CM$11*($F$108:$CM$108=CT$4)/$F$16:$CM$16*($F$110:$CM$143*($B$110:$B$143=$B26)*($A$110:$A$143=$A$108)))</f>
        <v>#DIV/0!</v>
      </c>
      <c r="CU26" s="93" t="e">
        <f t="array" ref="CU26">SUM(IF($F26:$CM26=нет,0,IF($F26:$CM26&gt;=$F$16:$CM$16,$F$16:$CM$16,IF($F26:$CM26&lt;$F$17:$CM$17,0,$F26:$CM26)))*$F$11:$CM$11*($F$109:$CM$109=CU$4)/$F$16:$CM$16*($F$110:$CM$143*($B$110:$B$143=$B26)*($A$110:$A$143=$A$108)))</f>
        <v>#DIV/0!</v>
      </c>
      <c r="CV26" s="93" t="e">
        <f t="array" ref="CV26">SUM(IF($F26:$CM26=нет,0,IF($F26:$CM26&gt;=$F$16:$CM$16,$F$16:$CM$16,IF($F26:$CM26&lt;$F$17:$CM$17,0,$F26:$CM26)))*$F$11:$CM$11*($F$108:$CM$108=CV$4)/$F$16:$CM$16*($F$110:$CM$143*($B$110:$B$143=$B26)*($A$110:$A$143=$A$108)))</f>
        <v>#DIV/0!</v>
      </c>
      <c r="CW26" s="93" t="e">
        <f t="array" ref="CW26">SUM(IF($F26:$CM26=нет,0,IF($F26:$CM26&gt;=$F$16:$CM$16,$F$16:$CM$16,IF($F26:$CM26&lt;$F$17:$CM$17,0,$F26:$CM26)))*$F$11:$CM$11*($F$108:$CM$108=CW$4)/$F$16:$CM$16*($F$110:$CM$143*($B$110:$B$143=$B26)*($A$110:$A$143=$A$108)))</f>
        <v>#DIV/0!</v>
      </c>
      <c r="CX26" s="93" t="e">
        <f t="array" ref="CX26">SUM(IF($F26:$CM26=нет,0,IF($F26:$CM26&gt;=$F$16:$CM$16,$F$16:$CM$16,IF($F26:$CM26&lt;$F$17:$CM$17,0,$F26:$CM26)))*$F$11:$CM$11*($F$108:$CM$108=CX$4)/$F$16:$CM$16*($F$110:$CM$143*($B$110:$B$143=$B26)*($A$110:$A$143=$A$108)))</f>
        <v>#DIV/0!</v>
      </c>
      <c r="CY26" s="93" t="e">
        <f t="array" ref="CY26">SUM(IF($F26:$CM26=нет,0,IF($F26:$CM26&gt;=$F$16:$CM$16,$F$16:$CM$16,IF($F26:$CM26&lt;$F$17:$CM$17,0,$F26:$CM26)))*$F$11:$CM$11*($F$108:$CM$108=CY$4)/$F$16:$CM$16*($F$110:$CM$143*($B$110:$B$143=$B26)*($A$110:$A$143=$A$108)))</f>
        <v>#DIV/0!</v>
      </c>
      <c r="CZ26" s="93" t="e">
        <f t="array" ref="CZ26">SUM(IF($F26:$CM26=нет,0,IF($F26:$CM26&gt;=$F$16:$CM$16,$F$16:$CM$16,IF($F26:$CM26&lt;$F$17:$CM$17,0,$F26:$CM26)))*$F$11:$CM$11*($F$108:$CM$108=CZ$4)/$F$16:$CM$16*($F$110:$CM$143*($B$110:$B$143=$B26)*($A$110:$A$143=$A$108)))</f>
        <v>#DIV/0!</v>
      </c>
      <c r="DB26" s="94" t="e">
        <f t="array" ref="DB26">SUM(IF($F26:$CM26=нет,0,100)*$F$11:$CM$11*($F$108:$CM$108=DB$4)/100*($F$110:$CM$143*($B$110:$B$143=$B26)*($A$110:$A$143=$A$108)))</f>
        <v>#DIV/0!</v>
      </c>
      <c r="DC26" s="94" t="e">
        <f t="array" ref="DC26">SUM(IF($F26:$CM26=нет,0,100)*$F$11:$CM$11*($F$108:$CM$108=DC$4)/100*($F$110:$CM$143*($B$110:$B$143=$B26)*($A$110:$A$143=$A$108)))</f>
        <v>#DIV/0!</v>
      </c>
      <c r="DD26" s="94" t="e">
        <f t="array" ref="DD26">SUM(IF($F26:$CM26=нет,0,100)*$F$11:$CM$11*($F$109:$CM$109=DD$4)/100*($F$110:$CM$143*($B$110:$B$143=$B26)*($A$110:$A$143=$A$108)))</f>
        <v>#DIV/0!</v>
      </c>
      <c r="DE26" s="94" t="e">
        <f t="array" ref="DE26">SUM(IF($F26:$CM26=нет,0,100)*$F$11:$CM$11*($F$108:$CM$108=DE$4)/100*($F$110:$CM$143*($B$110:$B$143=$B26)*($A$110:$A$143=$A$108)))</f>
        <v>#DIV/0!</v>
      </c>
      <c r="DF26" s="94" t="e">
        <f t="array" ref="DF26">SUM(IF($F26:$CM26=нет,0,100)*$F$11:$CM$11*($F$108:$CM$108=DF$4)/100*($F$110:$CM$143*($B$110:$B$143=$B26)*($A$110:$A$143=$A$108)))</f>
        <v>#DIV/0!</v>
      </c>
      <c r="DG26" s="94" t="e">
        <f t="array" ref="DG26">SUM(IF($F26:$CM26=нет,0,100)*$F$11:$CM$11*($F$108:$CM$108=DG$4)/100*($F$110:$CM$143*($B$110:$B$143=$B26)*($A$110:$A$143=$A$108)))</f>
        <v>#DIV/0!</v>
      </c>
      <c r="DH26" s="94" t="e">
        <f t="array" ref="DH26">SUM(IF($F26:$CM26=нет,0,100)*$F$11:$CM$11*($F$108:$CM$108=DH$4)/100*($F$110:$CM$143*($B$110:$B$143=$B26)*($A$110:$A$143=$A$108)))</f>
        <v>#DIV/0!</v>
      </c>
      <c r="DI26" s="94" t="e">
        <f t="array" ref="DI26">SUM(IF($F26:$CM26=нет,0,100)*$F$11:$CM$11*($F$108:$CM$108=DI$4)/100*($F$110:$CM$143*($B$110:$B$143=$B26)*($A$110:$A$143=$A$108)))</f>
        <v>#DIV/0!</v>
      </c>
      <c r="DK26" s="95" t="e">
        <f t="shared" si="28"/>
        <v>#DIV/0!</v>
      </c>
      <c r="DL26" s="95" t="e">
        <f t="shared" si="29"/>
        <v>#DIV/0!</v>
      </c>
      <c r="DM26" s="90" t="e">
        <f>IF(DL26=0,0,DK26/DL26*100)</f>
        <v>#DIV/0!</v>
      </c>
      <c r="DO26" s="95" t="e">
        <f t="shared" si="31"/>
        <v>#DIV/0!</v>
      </c>
      <c r="DP26" s="95" t="e">
        <f t="shared" si="32"/>
        <v>#DIV/0!</v>
      </c>
      <c r="DQ26" s="90" t="e">
        <f>IF(DP26=0,0,DO26/DP26*100)</f>
        <v>#DIV/0!</v>
      </c>
      <c r="DS26" s="168" t="e">
        <f t="shared" ref="DS26:DZ27" si="53">IF(DB26=0,0,TEXT(CS26/DB26*100,"0,0")&amp;"%
="&amp;TEXT(CS26,"0,0")&amp;"/"&amp;TEXT(DB26,"0,0"))</f>
        <v>#DIV/0!</v>
      </c>
      <c r="DT26" s="168" t="e">
        <f t="shared" si="53"/>
        <v>#DIV/0!</v>
      </c>
      <c r="DU26" s="168" t="e">
        <f t="shared" si="53"/>
        <v>#DIV/0!</v>
      </c>
      <c r="DV26" s="168" t="e">
        <f t="shared" si="53"/>
        <v>#DIV/0!</v>
      </c>
      <c r="DW26" s="168" t="e">
        <f t="shared" si="53"/>
        <v>#DIV/0!</v>
      </c>
      <c r="DX26" s="168" t="e">
        <f t="shared" si="53"/>
        <v>#DIV/0!</v>
      </c>
      <c r="DY26" s="168" t="e">
        <f t="shared" si="53"/>
        <v>#DIV/0!</v>
      </c>
      <c r="DZ26" s="168" t="e">
        <f t="shared" si="53"/>
        <v>#DIV/0!</v>
      </c>
      <c r="EA26" s="92" t="str">
        <f t="shared" si="17"/>
        <v>Институт среднего профессионального образования</v>
      </c>
      <c r="EB26" s="31" t="str">
        <f t="shared" si="42"/>
        <v>СПО</v>
      </c>
      <c r="EC26" s="168" t="e">
        <f>IF(DL26=0,0,TEXT(DK26/DL26*100,"0,0")&amp;"%
="&amp;TEXT(DK26,"0,0")&amp;"/"&amp;TEXT(DL26,"0,0"))</f>
        <v>#DIV/0!</v>
      </c>
      <c r="EE26" s="31">
        <f t="shared" si="44"/>
        <v>0</v>
      </c>
    </row>
    <row r="27" spans="1:135" ht="18" x14ac:dyDescent="0.25">
      <c r="A27" s="163" t="s">
        <v>177</v>
      </c>
      <c r="B27" s="97" t="s">
        <v>176</v>
      </c>
      <c r="C27" s="139">
        <f t="array" ref="C27">SUM(IF(КАФЕДРА!$D$20:$D$75=$D27,КАФЕДРА!$C$20:$C$75,0))</f>
        <v>0</v>
      </c>
      <c r="D27" s="139" t="str">
        <f t="shared" si="18"/>
        <v>ФИС</v>
      </c>
      <c r="E27" s="157" t="s">
        <v>31</v>
      </c>
      <c r="F27" s="905"/>
      <c r="G27" s="57"/>
      <c r="H27" s="101" t="str">
        <f t="shared" si="45"/>
        <v>нет</v>
      </c>
      <c r="I27" s="97"/>
      <c r="J27" s="408"/>
      <c r="K27" s="101" t="str">
        <f t="shared" si="19"/>
        <v>нет</v>
      </c>
      <c r="L27" s="97"/>
      <c r="M27" s="408"/>
      <c r="N27" s="101" t="str">
        <f>IF(M27=0,"нет",L27/M27*100)</f>
        <v>нет</v>
      </c>
      <c r="O27" s="456"/>
      <c r="P27" s="408">
        <v>0</v>
      </c>
      <c r="Q27" s="101" t="str">
        <f>IF(P27=0,"нет",O27/P27*100)</f>
        <v>нет</v>
      </c>
      <c r="R27" s="100"/>
      <c r="S27" s="905"/>
      <c r="T27" s="100"/>
      <c r="U27" s="905"/>
      <c r="V27" s="101" t="str">
        <f t="shared" si="46"/>
        <v>нет</v>
      </c>
      <c r="W27" s="59"/>
      <c r="X27" s="59"/>
      <c r="Y27" s="906"/>
      <c r="Z27" s="59"/>
      <c r="AA27" s="101" t="str">
        <f t="shared" si="47"/>
        <v>нет</v>
      </c>
      <c r="AB27" s="905"/>
      <c r="AC27" s="905"/>
      <c r="AD27" s="905"/>
      <c r="AE27" s="905"/>
      <c r="AF27" s="101" t="str">
        <f t="shared" si="48"/>
        <v>нет</v>
      </c>
      <c r="AG27" s="100"/>
      <c r="AH27" s="100"/>
      <c r="AI27" s="101" t="str">
        <f t="shared" si="22"/>
        <v>нет</v>
      </c>
      <c r="AJ27" s="905"/>
      <c r="AK27" s="905"/>
      <c r="AL27" s="101" t="str">
        <f t="shared" si="23"/>
        <v>нет</v>
      </c>
      <c r="AM27" s="905"/>
      <c r="AN27" s="905"/>
      <c r="AO27" s="101" t="str">
        <f t="shared" si="24"/>
        <v>нет</v>
      </c>
      <c r="AP27" s="946"/>
      <c r="AQ27" s="946"/>
      <c r="AR27" s="101" t="str">
        <f>IF((AQ27&gt;0),AP27/AQ27*100,нет)</f>
        <v>нет</v>
      </c>
      <c r="AS27" s="946"/>
      <c r="AT27" s="946"/>
      <c r="AU27" s="101" t="str">
        <f t="shared" si="3"/>
        <v>нет</v>
      </c>
      <c r="AV27" s="900">
        <f>SUM(КАФЕДРА!AB74:AB75)</f>
        <v>0</v>
      </c>
      <c r="AW27" s="900">
        <f>SUM(КАФЕДРА!AC74:AC75)</f>
        <v>0</v>
      </c>
      <c r="AX27" s="101" t="str">
        <f t="shared" si="4"/>
        <v>нет</v>
      </c>
      <c r="AY27" s="903"/>
      <c r="AZ27" s="61">
        <v>680</v>
      </c>
      <c r="BA27" s="1767">
        <f t="shared" si="6"/>
        <v>0</v>
      </c>
      <c r="BB27" s="903"/>
      <c r="BC27" s="61">
        <v>104</v>
      </c>
      <c r="BD27" s="1767">
        <f>IF(BC27&gt;0, BB27/BC27*100, нет)</f>
        <v>0</v>
      </c>
      <c r="BE27" s="1891"/>
      <c r="BF27" s="1898"/>
      <c r="BG27" s="1731" t="str">
        <f t="shared" si="49"/>
        <v>нет</v>
      </c>
      <c r="BH27" s="1889"/>
      <c r="BI27" s="1889"/>
      <c r="BJ27" s="61" t="str">
        <f t="shared" si="50"/>
        <v>нет</v>
      </c>
      <c r="BK27" s="673" t="str">
        <f t="shared" si="51"/>
        <v>нет</v>
      </c>
      <c r="BL27" s="1890"/>
      <c r="BM27" s="1890"/>
      <c r="BN27" s="61" t="str">
        <f t="shared" si="8"/>
        <v>нет</v>
      </c>
      <c r="BO27" s="673" t="str">
        <f t="shared" si="9"/>
        <v>нет</v>
      </c>
      <c r="BP27" s="480" t="e">
        <f>SUM('НУ(Публикации)'!D74:D75)/COUNT('НУ(Публикации)'!D74:D75)</f>
        <v>#DIV/0!</v>
      </c>
      <c r="BQ27" s="541">
        <v>100</v>
      </c>
      <c r="BR27" s="673" t="e">
        <f>IF(BQ27=0,"нет",BP27/BQ27*100)</f>
        <v>#DIV/0!</v>
      </c>
      <c r="BS27" s="903"/>
      <c r="BT27" s="61">
        <v>1</v>
      </c>
      <c r="BU27" s="1767">
        <f t="shared" si="12"/>
        <v>0</v>
      </c>
      <c r="BV27" s="903"/>
      <c r="BW27" s="61"/>
      <c r="BX27" s="1767" t="str">
        <f t="shared" si="25"/>
        <v>нет</v>
      </c>
      <c r="BY27" s="1763">
        <f t="array" ref="BY27">SUM(IF('НУ(Финансы)'!$B$20:$B$77=ИНСТИТУТ!D27,'НУ(Финансы)'!$E$20:$E$77,0))</f>
        <v>0</v>
      </c>
      <c r="BZ27" s="1764">
        <f t="array" ref="BZ27">SUM(IF('НУ(Финансы)'!$B$20:$B$77=ИНСТИТУТ!D27,'НУ(Финансы)'!$F$20:$F$77,0))</f>
        <v>0</v>
      </c>
      <c r="CA27" s="1767">
        <f t="shared" si="26"/>
        <v>0</v>
      </c>
      <c r="CB27" s="480">
        <f>SUM(Кадры!N74:N75)</f>
        <v>0</v>
      </c>
      <c r="CC27" s="480">
        <f>SUM(Кадры!J74:J75)</f>
        <v>0</v>
      </c>
      <c r="CD27" s="673" t="str">
        <f t="shared" si="27"/>
        <v>нет</v>
      </c>
      <c r="CE27" s="480">
        <f>SUM(Кадры!D74:D75)</f>
        <v>0</v>
      </c>
      <c r="CF27" s="480">
        <f>SUM(Кадры!F74:F75)</f>
        <v>0</v>
      </c>
      <c r="CG27" s="673" t="str">
        <f t="shared" si="52"/>
        <v>нет</v>
      </c>
      <c r="CH27" s="903"/>
      <c r="CI27" s="61"/>
      <c r="CJ27" s="1767" t="str">
        <f t="shared" si="14"/>
        <v>нет</v>
      </c>
      <c r="CK27" s="903"/>
      <c r="CL27" s="61">
        <v>6</v>
      </c>
      <c r="CM27" s="1767">
        <f t="shared" si="15"/>
        <v>0</v>
      </c>
      <c r="CO27" s="141" t="s">
        <v>117</v>
      </c>
      <c r="CP27" s="151">
        <v>15</v>
      </c>
      <c r="CS27" s="93" t="e">
        <f t="array" ref="CS27">SUM(IF($F27:$CM27=нет,0,IF($F27:$CM27&gt;=$F$16:$CM$16,$F$16:$CM$16,IF($F27:$CM27&lt;$F$17:$CM$17,0,$F27:$CM27)))*$F$11:$CM$11*($F$108:$CM$108=CS$4)/$F$16:$CM$16*($F$110:$CM$143*($B$110:$B$143=$B27)*($A$110:$A$143=$A$108)))</f>
        <v>#DIV/0!</v>
      </c>
      <c r="CT27" s="93" t="e">
        <f t="array" ref="CT27">SUM(IF($F27:$CM27=нет,0,IF($F27:$CM27&gt;=$F$16:$CM$16,$F$16:$CM$16,IF($F27:$CM27&lt;$F$17:$CM$17,0,$F27:$CM27)))*$F$11:$CM$11*($F$108:$CM$108=CT$4)/$F$16:$CM$16*($F$110:$CM$143*($B$110:$B$143=$B27)*($A$110:$A$143=$A$108)))</f>
        <v>#DIV/0!</v>
      </c>
      <c r="CU27" s="93" t="e">
        <f t="array" ref="CU27">SUM(IF($F27:$CM27=нет,0,IF($F27:$CM27&gt;=$F$16:$CM$16,$F$16:$CM$16,IF($F27:$CM27&lt;$F$17:$CM$17,0,$F27:$CM27)))*$F$11:$CM$11*($F$109:$CM$109=CU$4)/$F$16:$CM$16*($F$110:$CM$143*($B$110:$B$143=$B27)*($A$110:$A$143=$A$108)))</f>
        <v>#DIV/0!</v>
      </c>
      <c r="CV27" s="93" t="e">
        <f t="array" ref="CV27">SUM(IF($F27:$CM27=нет,0,IF($F27:$CM27&gt;=$F$16:$CM$16,$F$16:$CM$16,IF($F27:$CM27&lt;$F$17:$CM$17,0,$F27:$CM27)))*$F$11:$CM$11*($F$108:$CM$108=CV$4)/$F$16:$CM$16*($F$110:$CM$143*($B$110:$B$143=$B27)*($A$110:$A$143=$A$108)))</f>
        <v>#DIV/0!</v>
      </c>
      <c r="CW27" s="93" t="e">
        <f t="array" ref="CW27">SUM(IF($F27:$CM27=нет,0,IF($F27:$CM27&gt;=$F$16:$CM$16,$F$16:$CM$16,IF($F27:$CM27&lt;$F$17:$CM$17,0,$F27:$CM27)))*$F$11:$CM$11*($F$108:$CM$108=CW$4)/$F$16:$CM$16*($F$110:$CM$143*($B$110:$B$143=$B27)*($A$110:$A$143=$A$108)))</f>
        <v>#DIV/0!</v>
      </c>
      <c r="CX27" s="93" t="e">
        <f t="array" ref="CX27">SUM(IF($F27:$CM27=нет,0,IF($F27:$CM27&gt;=$F$16:$CM$16,$F$16:$CM$16,IF($F27:$CM27&lt;$F$17:$CM$17,0,$F27:$CM27)))*$F$11:$CM$11*($F$108:$CM$108=CX$4)/$F$16:$CM$16*($F$110:$CM$143*($B$110:$B$143=$B27)*($A$110:$A$143=$A$108)))</f>
        <v>#DIV/0!</v>
      </c>
      <c r="CY27" s="93" t="e">
        <f t="array" ref="CY27">SUM(IF($F27:$CM27=нет,0,IF($F27:$CM27&gt;=$F$16:$CM$16,$F$16:$CM$16,IF($F27:$CM27&lt;$F$17:$CM$17,0,$F27:$CM27)))*$F$11:$CM$11*($F$108:$CM$108=CY$4)/$F$16:$CM$16*($F$110:$CM$143*($B$110:$B$143=$B27)*($A$110:$A$143=$A$108)))</f>
        <v>#DIV/0!</v>
      </c>
      <c r="CZ27" s="93" t="e">
        <f t="array" ref="CZ27">SUM(IF($F27:$CM27=нет,0,IF($F27:$CM27&gt;=$F$16:$CM$16,$F$16:$CM$16,IF($F27:$CM27&lt;$F$17:$CM$17,0,$F27:$CM27)))*$F$11:$CM$11*($F$108:$CM$108=CZ$4)/$F$16:$CM$16*($F$110:$CM$143*($B$110:$B$143=$B27)*($A$110:$A$143=$A$108)))</f>
        <v>#DIV/0!</v>
      </c>
      <c r="DB27" s="94" t="e">
        <f t="array" ref="DB27">SUM(IF($F27:$CM27=нет,0,100)*$F$11:$CM$11*($F$108:$CM$108=DB$4)/100*($F$110:$CM$143*($B$110:$B$143=$B27)*($A$110:$A$143=$A$108)))</f>
        <v>#DIV/0!</v>
      </c>
      <c r="DC27" s="94" t="e">
        <f t="array" ref="DC27">SUM(IF($F27:$CM27=нет,0,100)*$F$11:$CM$11*($F$108:$CM$108=DC$4)/100*($F$110:$CM$143*($B$110:$B$143=$B27)*($A$110:$A$143=$A$108)))</f>
        <v>#DIV/0!</v>
      </c>
      <c r="DD27" s="94" t="e">
        <f t="array" ref="DD27">SUM(IF($F27:$CM27=нет,0,100)*$F$11:$CM$11*($F$109:$CM$109=DD$4)/100*($F$110:$CM$143*($B$110:$B$143=$B27)*($A$110:$A$143=$A$108)))</f>
        <v>#DIV/0!</v>
      </c>
      <c r="DE27" s="94" t="e">
        <f t="array" ref="DE27">SUM(IF($F27:$CM27=нет,0,100)*$F$11:$CM$11*($F$108:$CM$108=DE$4)/100*($F$110:$CM$143*($B$110:$B$143=$B27)*($A$110:$A$143=$A$108)))</f>
        <v>#DIV/0!</v>
      </c>
      <c r="DF27" s="94" t="e">
        <f t="array" ref="DF27">SUM(IF($F27:$CM27=нет,0,100)*$F$11:$CM$11*($F$108:$CM$108=DF$4)/100*($F$110:$CM$143*($B$110:$B$143=$B27)*($A$110:$A$143=$A$108)))</f>
        <v>#DIV/0!</v>
      </c>
      <c r="DG27" s="94" t="e">
        <f t="array" ref="DG27">SUM(IF($F27:$CM27=нет,0,100)*$F$11:$CM$11*($F$108:$CM$108=DG$4)/100*($F$110:$CM$143*($B$110:$B$143=$B27)*($A$110:$A$143=$A$108)))</f>
        <v>#DIV/0!</v>
      </c>
      <c r="DH27" s="94" t="e">
        <f t="array" ref="DH27">SUM(IF($F27:$CM27=нет,0,100)*$F$11:$CM$11*($F$108:$CM$108=DH$4)/100*($F$110:$CM$143*($B$110:$B$143=$B27)*($A$110:$A$143=$A$108)))</f>
        <v>#DIV/0!</v>
      </c>
      <c r="DI27" s="94" t="e">
        <f t="array" ref="DI27">SUM(IF($F27:$CM27=нет,0,100)*$F$11:$CM$11*($F$108:$CM$108=DI$4)/100*($F$110:$CM$143*($B$110:$B$143=$B27)*($A$110:$A$143=$A$108)))</f>
        <v>#DIV/0!</v>
      </c>
      <c r="DK27" s="95" t="e">
        <f t="shared" si="28"/>
        <v>#DIV/0!</v>
      </c>
      <c r="DL27" s="95" t="e">
        <f t="shared" si="29"/>
        <v>#DIV/0!</v>
      </c>
      <c r="DM27" s="90" t="e">
        <f>IF(DL27=0,0,DK27/DL27*100)</f>
        <v>#DIV/0!</v>
      </c>
      <c r="DO27" s="95" t="e">
        <f t="shared" si="31"/>
        <v>#DIV/0!</v>
      </c>
      <c r="DP27" s="95" t="e">
        <f t="shared" si="32"/>
        <v>#DIV/0!</v>
      </c>
      <c r="DQ27" s="90" t="e">
        <f>IF(DP27=0,0,DO27/DP27*100)</f>
        <v>#DIV/0!</v>
      </c>
      <c r="DS27" s="168" t="e">
        <f t="shared" si="53"/>
        <v>#DIV/0!</v>
      </c>
      <c r="DT27" s="168" t="e">
        <f t="shared" si="53"/>
        <v>#DIV/0!</v>
      </c>
      <c r="DU27" s="168" t="e">
        <f t="shared" si="53"/>
        <v>#DIV/0!</v>
      </c>
      <c r="DV27" s="168" t="e">
        <f t="shared" si="53"/>
        <v>#DIV/0!</v>
      </c>
      <c r="DW27" s="168" t="e">
        <f t="shared" si="53"/>
        <v>#DIV/0!</v>
      </c>
      <c r="DX27" s="168" t="e">
        <f t="shared" si="53"/>
        <v>#DIV/0!</v>
      </c>
      <c r="DY27" s="168" t="e">
        <f t="shared" si="53"/>
        <v>#DIV/0!</v>
      </c>
      <c r="DZ27" s="168" t="e">
        <f t="shared" si="53"/>
        <v>#DIV/0!</v>
      </c>
      <c r="EA27" s="92" t="str">
        <f t="shared" si="17"/>
        <v>Факультет иностранных студентов</v>
      </c>
      <c r="EB27" s="31" t="str">
        <f t="shared" si="42"/>
        <v>ФИС</v>
      </c>
      <c r="EC27" s="168" t="e">
        <f>IF(DL27=0,0,TEXT(DK27/DL27*100,"0,0")&amp;"%
="&amp;TEXT(DK27,"0,0")&amp;"/"&amp;TEXT(DL27,"0,0"))</f>
        <v>#DIV/0!</v>
      </c>
      <c r="EE27" s="31">
        <f t="shared" si="44"/>
        <v>0</v>
      </c>
    </row>
    <row r="28" spans="1:135" ht="18" hidden="1" customHeight="1" x14ac:dyDescent="0.25">
      <c r="A28" s="139"/>
      <c r="B28" s="97"/>
      <c r="C28" s="139"/>
      <c r="D28" s="139"/>
      <c r="E28" s="157"/>
      <c r="F28" s="100"/>
      <c r="G28" s="100"/>
      <c r="H28" s="101"/>
      <c r="I28" s="100"/>
      <c r="J28" s="100"/>
      <c r="K28" s="101"/>
      <c r="L28" s="100"/>
      <c r="M28" s="100"/>
      <c r="N28" s="101"/>
      <c r="O28" s="100"/>
      <c r="P28" s="100"/>
      <c r="Q28" s="101"/>
      <c r="R28" s="100"/>
      <c r="S28" s="905"/>
      <c r="T28" s="100"/>
      <c r="U28" s="905"/>
      <c r="V28" s="101"/>
      <c r="W28" s="100"/>
      <c r="X28" s="100"/>
      <c r="Y28" s="100"/>
      <c r="Z28" s="100"/>
      <c r="AA28" s="101"/>
      <c r="AB28" s="100"/>
      <c r="AC28" s="607"/>
      <c r="AD28" s="607"/>
      <c r="AE28" s="100"/>
      <c r="AF28" s="101" t="str">
        <f t="shared" si="48"/>
        <v>нет</v>
      </c>
      <c r="AG28" s="100"/>
      <c r="AH28" s="100"/>
      <c r="AI28" s="101"/>
      <c r="AJ28" s="100"/>
      <c r="AK28" s="100"/>
      <c r="AL28" s="101"/>
      <c r="AM28" s="101"/>
      <c r="AN28" s="101"/>
      <c r="AO28" s="101"/>
      <c r="AP28" s="946"/>
      <c r="AQ28" s="946"/>
      <c r="AR28" s="101"/>
      <c r="AS28" s="607"/>
      <c r="AT28" s="607"/>
      <c r="AU28" s="101"/>
      <c r="AV28" s="102"/>
      <c r="AW28" s="102"/>
      <c r="AX28" s="102"/>
      <c r="AY28" s="100"/>
      <c r="AZ28" s="100"/>
      <c r="BA28" s="101"/>
      <c r="BB28" s="100"/>
      <c r="BC28" s="66"/>
      <c r="BD28" s="102"/>
      <c r="BE28" s="100"/>
      <c r="BF28" s="66"/>
      <c r="BG28" s="102"/>
      <c r="BH28" s="381"/>
      <c r="BI28" s="381"/>
      <c r="BJ28" s="104"/>
      <c r="BK28" s="105"/>
      <c r="BL28" s="381"/>
      <c r="BM28" s="381"/>
      <c r="BN28" s="104"/>
      <c r="BO28" s="105"/>
      <c r="BP28" s="105"/>
      <c r="BQ28" s="105"/>
      <c r="BR28" s="105"/>
      <c r="BS28" s="105"/>
      <c r="BT28" s="105"/>
      <c r="BU28" s="105"/>
      <c r="BV28" s="105"/>
      <c r="BW28" s="105"/>
      <c r="BX28" s="105"/>
      <c r="BY28" s="105"/>
      <c r="BZ28" s="105"/>
      <c r="CA28" s="105"/>
      <c r="CB28" s="103"/>
      <c r="CC28" s="103"/>
      <c r="CD28" s="102"/>
      <c r="CE28" s="102"/>
      <c r="CF28" s="102"/>
      <c r="CG28" s="506" t="str">
        <f t="array" ref="CG28">IF(CF28=0,"нет",CE28/CF28/COUNTIF(Кадры!$B$20:$B$75,ИНСТИТУТ!D28)*100)</f>
        <v>нет</v>
      </c>
      <c r="CH28" s="695"/>
      <c r="CI28" s="695"/>
      <c r="CJ28" s="695"/>
      <c r="CK28" s="695"/>
      <c r="CL28" s="695"/>
      <c r="CM28" s="695"/>
      <c r="CO28" s="141"/>
      <c r="CP28" s="155"/>
      <c r="CS28" s="93"/>
      <c r="CT28" s="93"/>
      <c r="CU28" s="93"/>
      <c r="CV28" s="93"/>
      <c r="CW28" s="93"/>
      <c r="CX28" s="93"/>
      <c r="CY28" s="93"/>
      <c r="CZ28" s="93"/>
      <c r="DB28" s="94"/>
      <c r="DC28" s="94"/>
      <c r="DD28" s="94"/>
      <c r="DE28" s="94" t="e">
        <f t="shared" ref="DE28:DI37" si="54">SUM(IF($F28:$CM28=нет,0,100)*$F$11:$CM$11*($F$108:$CM$108=DE$4)/100*($F$110:$CM$143*($B$110:$B$143=$B28)*($A$110:$A$143=$A$108)))</f>
        <v>#VALUE!</v>
      </c>
      <c r="DF28" s="94" t="e">
        <f t="shared" si="54"/>
        <v>#VALUE!</v>
      </c>
      <c r="DG28" s="94" t="e">
        <f t="shared" si="54"/>
        <v>#VALUE!</v>
      </c>
      <c r="DH28" s="94" t="e">
        <f t="shared" si="54"/>
        <v>#VALUE!</v>
      </c>
      <c r="DI28" s="94" t="e">
        <f t="shared" si="54"/>
        <v>#VALUE!</v>
      </c>
      <c r="DK28" s="95"/>
      <c r="DL28" s="95"/>
      <c r="DM28" s="90"/>
      <c r="DO28" s="95"/>
      <c r="DP28" s="95"/>
      <c r="DQ28" s="90"/>
      <c r="DT28" s="149"/>
      <c r="DU28" s="149"/>
      <c r="DV28" s="149"/>
      <c r="DW28" s="149"/>
      <c r="DX28" s="149"/>
      <c r="DY28" s="149"/>
      <c r="DZ28" s="149"/>
      <c r="EC28" s="168">
        <f t="shared" si="43"/>
        <v>0</v>
      </c>
    </row>
    <row r="29" spans="1:135" ht="18" hidden="1" customHeight="1" x14ac:dyDescent="0.25">
      <c r="A29" s="139"/>
      <c r="B29" s="97"/>
      <c r="C29" s="139"/>
      <c r="D29" s="139"/>
      <c r="E29" s="157"/>
      <c r="F29" s="100"/>
      <c r="G29" s="100"/>
      <c r="H29" s="101"/>
      <c r="I29" s="100"/>
      <c r="J29" s="100"/>
      <c r="K29" s="101"/>
      <c r="L29" s="100"/>
      <c r="M29" s="100"/>
      <c r="N29" s="101"/>
      <c r="O29" s="100"/>
      <c r="P29" s="100"/>
      <c r="Q29" s="101"/>
      <c r="R29" s="100"/>
      <c r="S29" s="905"/>
      <c r="T29" s="100"/>
      <c r="U29" s="905"/>
      <c r="V29" s="101"/>
      <c r="W29" s="100"/>
      <c r="X29" s="100"/>
      <c r="Y29" s="100"/>
      <c r="Z29" s="100"/>
      <c r="AA29" s="101"/>
      <c r="AB29" s="100"/>
      <c r="AC29" s="607"/>
      <c r="AD29" s="607"/>
      <c r="AE29" s="100"/>
      <c r="AF29" s="101" t="str">
        <f t="shared" si="48"/>
        <v>нет</v>
      </c>
      <c r="AG29" s="100"/>
      <c r="AH29" s="100"/>
      <c r="AI29" s="101"/>
      <c r="AJ29" s="100"/>
      <c r="AK29" s="100"/>
      <c r="AL29" s="101"/>
      <c r="AM29" s="101"/>
      <c r="AN29" s="101"/>
      <c r="AO29" s="101"/>
      <c r="AP29" s="946"/>
      <c r="AQ29" s="946"/>
      <c r="AR29" s="101"/>
      <c r="AS29" s="607"/>
      <c r="AT29" s="607"/>
      <c r="AU29" s="101"/>
      <c r="AV29" s="102"/>
      <c r="AW29" s="102"/>
      <c r="AX29" s="102"/>
      <c r="AY29" s="100"/>
      <c r="AZ29" s="100"/>
      <c r="BA29" s="101"/>
      <c r="BB29" s="100"/>
      <c r="BC29" s="66"/>
      <c r="BD29" s="102"/>
      <c r="BE29" s="100"/>
      <c r="BF29" s="66"/>
      <c r="BG29" s="102"/>
      <c r="BH29" s="381"/>
      <c r="BI29" s="381"/>
      <c r="BJ29" s="104"/>
      <c r="BK29" s="105"/>
      <c r="BL29" s="381"/>
      <c r="BM29" s="381"/>
      <c r="BN29" s="104"/>
      <c r="BO29" s="105"/>
      <c r="BP29" s="105"/>
      <c r="BQ29" s="105"/>
      <c r="BR29" s="105"/>
      <c r="BS29" s="105"/>
      <c r="BT29" s="105"/>
      <c r="BU29" s="105"/>
      <c r="BV29" s="105"/>
      <c r="BW29" s="105"/>
      <c r="BX29" s="105"/>
      <c r="BY29" s="105"/>
      <c r="BZ29" s="105"/>
      <c r="CA29" s="105"/>
      <c r="CB29" s="103"/>
      <c r="CC29" s="103"/>
      <c r="CD29" s="102"/>
      <c r="CE29" s="102"/>
      <c r="CF29" s="102"/>
      <c r="CG29" s="506" t="str">
        <f t="array" ref="CG29">IF(CF29=0,"нет",CE29/CF29/COUNTIF(Кадры!$B$20:$B$75,ИНСТИТУТ!D29)*100)</f>
        <v>нет</v>
      </c>
      <c r="CH29" s="695"/>
      <c r="CI29" s="695"/>
      <c r="CJ29" s="695"/>
      <c r="CK29" s="695"/>
      <c r="CL29" s="695"/>
      <c r="CM29" s="695"/>
      <c r="CO29" s="141"/>
      <c r="CP29" s="155"/>
      <c r="CS29" s="93"/>
      <c r="CT29" s="93"/>
      <c r="CU29" s="93"/>
      <c r="CV29" s="93"/>
      <c r="CW29" s="93"/>
      <c r="CX29" s="93"/>
      <c r="CY29" s="93"/>
      <c r="CZ29" s="93"/>
      <c r="DB29" s="94"/>
      <c r="DC29" s="94"/>
      <c r="DD29" s="94"/>
      <c r="DE29" s="94" t="e">
        <f t="shared" si="54"/>
        <v>#VALUE!</v>
      </c>
      <c r="DF29" s="94" t="e">
        <f t="shared" si="54"/>
        <v>#VALUE!</v>
      </c>
      <c r="DG29" s="94" t="e">
        <f t="shared" si="54"/>
        <v>#VALUE!</v>
      </c>
      <c r="DH29" s="94" t="e">
        <f t="shared" si="54"/>
        <v>#VALUE!</v>
      </c>
      <c r="DI29" s="94" t="e">
        <f t="shared" si="54"/>
        <v>#VALUE!</v>
      </c>
      <c r="DK29" s="95"/>
      <c r="DL29" s="95"/>
      <c r="DM29" s="90"/>
      <c r="DO29" s="95"/>
      <c r="DP29" s="95"/>
      <c r="DQ29" s="90"/>
      <c r="DT29" s="149"/>
      <c r="DU29" s="149"/>
      <c r="DV29" s="149"/>
      <c r="DW29" s="149"/>
      <c r="DX29" s="149"/>
      <c r="DY29" s="149"/>
      <c r="DZ29" s="149"/>
      <c r="EC29" s="168">
        <f t="shared" si="43"/>
        <v>0</v>
      </c>
    </row>
    <row r="30" spans="1:135" ht="18" hidden="1" customHeight="1" x14ac:dyDescent="0.25">
      <c r="A30" s="139"/>
      <c r="B30" s="97"/>
      <c r="C30" s="139"/>
      <c r="D30" s="139"/>
      <c r="E30" s="157"/>
      <c r="F30" s="100"/>
      <c r="G30" s="100"/>
      <c r="H30" s="101"/>
      <c r="I30" s="100"/>
      <c r="J30" s="100"/>
      <c r="K30" s="101"/>
      <c r="L30" s="100"/>
      <c r="M30" s="100"/>
      <c r="N30" s="101"/>
      <c r="O30" s="100"/>
      <c r="P30" s="100"/>
      <c r="Q30" s="101"/>
      <c r="R30" s="100"/>
      <c r="S30" s="905"/>
      <c r="T30" s="100"/>
      <c r="U30" s="905"/>
      <c r="V30" s="101"/>
      <c r="W30" s="100"/>
      <c r="X30" s="100"/>
      <c r="Y30" s="100"/>
      <c r="Z30" s="100"/>
      <c r="AA30" s="101"/>
      <c r="AB30" s="100"/>
      <c r="AC30" s="607"/>
      <c r="AD30" s="607"/>
      <c r="AE30" s="100"/>
      <c r="AF30" s="101" t="str">
        <f t="shared" si="48"/>
        <v>нет</v>
      </c>
      <c r="AG30" s="100"/>
      <c r="AH30" s="100"/>
      <c r="AI30" s="101"/>
      <c r="AJ30" s="100"/>
      <c r="AK30" s="100"/>
      <c r="AL30" s="101"/>
      <c r="AM30" s="101"/>
      <c r="AN30" s="101"/>
      <c r="AO30" s="101"/>
      <c r="AP30" s="946"/>
      <c r="AQ30" s="946"/>
      <c r="AR30" s="101"/>
      <c r="AS30" s="607"/>
      <c r="AT30" s="607"/>
      <c r="AU30" s="101"/>
      <c r="AV30" s="102"/>
      <c r="AW30" s="102"/>
      <c r="AX30" s="102"/>
      <c r="AY30" s="100"/>
      <c r="AZ30" s="100"/>
      <c r="BA30" s="101"/>
      <c r="BB30" s="100"/>
      <c r="BC30" s="66"/>
      <c r="BD30" s="102"/>
      <c r="BE30" s="100"/>
      <c r="BF30" s="66"/>
      <c r="BG30" s="102"/>
      <c r="BH30" s="381"/>
      <c r="BI30" s="381"/>
      <c r="BJ30" s="104"/>
      <c r="BK30" s="105"/>
      <c r="BL30" s="381"/>
      <c r="BM30" s="381"/>
      <c r="BN30" s="104"/>
      <c r="BO30" s="105"/>
      <c r="BP30" s="105"/>
      <c r="BQ30" s="105"/>
      <c r="BR30" s="105"/>
      <c r="BS30" s="105"/>
      <c r="BT30" s="105"/>
      <c r="BU30" s="105"/>
      <c r="BV30" s="105"/>
      <c r="BW30" s="105"/>
      <c r="BX30" s="105"/>
      <c r="BY30" s="105"/>
      <c r="BZ30" s="105"/>
      <c r="CA30" s="105"/>
      <c r="CB30" s="103"/>
      <c r="CC30" s="103"/>
      <c r="CD30" s="102"/>
      <c r="CE30" s="102"/>
      <c r="CF30" s="102"/>
      <c r="CG30" s="506" t="str">
        <f t="array" ref="CG30">IF(CF30=0,"нет",CE30/CF30/COUNTIF(Кадры!$B$20:$B$75,ИНСТИТУТ!D30)*100)</f>
        <v>нет</v>
      </c>
      <c r="CH30" s="695"/>
      <c r="CI30" s="695"/>
      <c r="CJ30" s="695"/>
      <c r="CK30" s="695"/>
      <c r="CL30" s="695"/>
      <c r="CM30" s="695"/>
      <c r="CO30" s="141"/>
      <c r="CP30" s="155"/>
      <c r="CS30" s="93"/>
      <c r="CT30" s="93"/>
      <c r="CU30" s="93"/>
      <c r="CV30" s="93"/>
      <c r="CW30" s="93"/>
      <c r="CX30" s="93"/>
      <c r="CY30" s="93"/>
      <c r="CZ30" s="93"/>
      <c r="DB30" s="94"/>
      <c r="DC30" s="94"/>
      <c r="DD30" s="94"/>
      <c r="DE30" s="94" t="e">
        <f t="shared" si="54"/>
        <v>#VALUE!</v>
      </c>
      <c r="DF30" s="94" t="e">
        <f t="shared" si="54"/>
        <v>#VALUE!</v>
      </c>
      <c r="DG30" s="94" t="e">
        <f t="shared" si="54"/>
        <v>#VALUE!</v>
      </c>
      <c r="DH30" s="94" t="e">
        <f t="shared" si="54"/>
        <v>#VALUE!</v>
      </c>
      <c r="DI30" s="94" t="e">
        <f t="shared" si="54"/>
        <v>#VALUE!</v>
      </c>
      <c r="DK30" s="95"/>
      <c r="DL30" s="95"/>
      <c r="DM30" s="90"/>
      <c r="DO30" s="95"/>
      <c r="DP30" s="95"/>
      <c r="DQ30" s="90"/>
      <c r="DT30" s="149"/>
      <c r="DU30" s="149"/>
      <c r="DV30" s="149"/>
      <c r="DW30" s="149"/>
      <c r="DX30" s="149"/>
      <c r="DY30" s="149"/>
      <c r="DZ30" s="149"/>
      <c r="EC30" s="168">
        <f t="shared" si="43"/>
        <v>0</v>
      </c>
    </row>
    <row r="31" spans="1:135" s="108" customFormat="1" ht="18" hidden="1" customHeight="1" x14ac:dyDescent="0.25">
      <c r="A31" s="139"/>
      <c r="B31" s="97"/>
      <c r="C31" s="139"/>
      <c r="D31" s="139"/>
      <c r="E31" s="157"/>
      <c r="F31" s="100"/>
      <c r="G31" s="100"/>
      <c r="H31" s="101"/>
      <c r="I31" s="100"/>
      <c r="J31" s="100"/>
      <c r="K31" s="101"/>
      <c r="L31" s="100"/>
      <c r="M31" s="100"/>
      <c r="N31" s="101"/>
      <c r="O31" s="100"/>
      <c r="P31" s="100"/>
      <c r="Q31" s="101"/>
      <c r="R31" s="100"/>
      <c r="S31" s="905"/>
      <c r="T31" s="100"/>
      <c r="U31" s="905"/>
      <c r="V31" s="101"/>
      <c r="W31" s="100"/>
      <c r="X31" s="100"/>
      <c r="Y31" s="100"/>
      <c r="Z31" s="100"/>
      <c r="AA31" s="101"/>
      <c r="AB31" s="100"/>
      <c r="AC31" s="607"/>
      <c r="AD31" s="607"/>
      <c r="AE31" s="100"/>
      <c r="AF31" s="101" t="str">
        <f t="shared" si="48"/>
        <v>нет</v>
      </c>
      <c r="AG31" s="100"/>
      <c r="AH31" s="100"/>
      <c r="AI31" s="101"/>
      <c r="AJ31" s="100"/>
      <c r="AK31" s="100"/>
      <c r="AL31" s="101"/>
      <c r="AM31" s="101"/>
      <c r="AN31" s="101"/>
      <c r="AO31" s="101"/>
      <c r="AP31" s="946"/>
      <c r="AQ31" s="946"/>
      <c r="AR31" s="101"/>
      <c r="AS31" s="607"/>
      <c r="AT31" s="607"/>
      <c r="AU31" s="101"/>
      <c r="AV31" s="102"/>
      <c r="AW31" s="102"/>
      <c r="AX31" s="102"/>
      <c r="AY31" s="100"/>
      <c r="AZ31" s="100"/>
      <c r="BA31" s="101"/>
      <c r="BB31" s="100"/>
      <c r="BC31" s="66"/>
      <c r="BD31" s="102"/>
      <c r="BE31" s="100"/>
      <c r="BF31" s="66"/>
      <c r="BG31" s="102"/>
      <c r="BH31" s="381"/>
      <c r="BI31" s="381"/>
      <c r="BJ31" s="104"/>
      <c r="BK31" s="105"/>
      <c r="BL31" s="381"/>
      <c r="BM31" s="381"/>
      <c r="BN31" s="104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3"/>
      <c r="CC31" s="103"/>
      <c r="CD31" s="102"/>
      <c r="CE31" s="102"/>
      <c r="CF31" s="102"/>
      <c r="CG31" s="506" t="str">
        <f t="array" ref="CG31">IF(CF31=0,"нет",CE31/CF31/COUNTIF(Кадры!$B$20:$B$75,ИНСТИТУТ!D31)*100)</f>
        <v>нет</v>
      </c>
      <c r="CH31" s="695"/>
      <c r="CI31" s="695"/>
      <c r="CJ31" s="695"/>
      <c r="CK31" s="695"/>
      <c r="CL31" s="695"/>
      <c r="CM31" s="695"/>
      <c r="CO31" s="141"/>
      <c r="CP31" s="155"/>
      <c r="CQ31" s="109"/>
      <c r="CS31" s="93"/>
      <c r="CT31" s="93"/>
      <c r="CU31" s="93"/>
      <c r="CV31" s="93"/>
      <c r="CW31" s="93"/>
      <c r="CX31" s="93"/>
      <c r="CY31" s="93"/>
      <c r="CZ31" s="93"/>
      <c r="DB31" s="94"/>
      <c r="DC31" s="94"/>
      <c r="DD31" s="94"/>
      <c r="DE31" s="94" t="e">
        <f t="shared" si="54"/>
        <v>#VALUE!</v>
      </c>
      <c r="DF31" s="94" t="e">
        <f t="shared" si="54"/>
        <v>#VALUE!</v>
      </c>
      <c r="DG31" s="94" t="e">
        <f t="shared" si="54"/>
        <v>#VALUE!</v>
      </c>
      <c r="DH31" s="94" t="e">
        <f t="shared" si="54"/>
        <v>#VALUE!</v>
      </c>
      <c r="DI31" s="94" t="e">
        <f t="shared" si="54"/>
        <v>#VALUE!</v>
      </c>
      <c r="DK31" s="95"/>
      <c r="DL31" s="95"/>
      <c r="DM31" s="90"/>
      <c r="DO31" s="95"/>
      <c r="DP31" s="95"/>
      <c r="DQ31" s="90"/>
      <c r="DR31" s="109"/>
      <c r="DS31" s="146"/>
      <c r="DT31" s="149"/>
      <c r="DU31" s="149"/>
      <c r="DV31" s="149"/>
      <c r="DW31" s="149"/>
      <c r="DX31" s="149"/>
      <c r="DY31" s="149"/>
      <c r="DZ31" s="149"/>
      <c r="EC31" s="168">
        <f t="shared" si="43"/>
        <v>0</v>
      </c>
    </row>
    <row r="32" spans="1:135" ht="18" hidden="1" customHeight="1" x14ac:dyDescent="0.25">
      <c r="A32" s="139"/>
      <c r="B32" s="97"/>
      <c r="C32" s="139"/>
      <c r="D32" s="139"/>
      <c r="E32" s="157"/>
      <c r="F32" s="100"/>
      <c r="G32" s="100"/>
      <c r="H32" s="101"/>
      <c r="I32" s="100"/>
      <c r="J32" s="100"/>
      <c r="K32" s="101"/>
      <c r="L32" s="100"/>
      <c r="M32" s="100"/>
      <c r="N32" s="101"/>
      <c r="O32" s="100"/>
      <c r="P32" s="100"/>
      <c r="Q32" s="101"/>
      <c r="R32" s="100"/>
      <c r="S32" s="905"/>
      <c r="T32" s="100"/>
      <c r="U32" s="905"/>
      <c r="V32" s="101"/>
      <c r="W32" s="100"/>
      <c r="X32" s="100"/>
      <c r="Y32" s="100"/>
      <c r="Z32" s="100"/>
      <c r="AA32" s="101"/>
      <c r="AB32" s="100"/>
      <c r="AC32" s="607"/>
      <c r="AD32" s="607"/>
      <c r="AE32" s="100"/>
      <c r="AF32" s="101" t="str">
        <f t="shared" si="48"/>
        <v>нет</v>
      </c>
      <c r="AG32" s="100"/>
      <c r="AH32" s="100"/>
      <c r="AI32" s="101"/>
      <c r="AJ32" s="100"/>
      <c r="AK32" s="100"/>
      <c r="AL32" s="101"/>
      <c r="AM32" s="101"/>
      <c r="AN32" s="101"/>
      <c r="AO32" s="101"/>
      <c r="AP32" s="946"/>
      <c r="AQ32" s="946"/>
      <c r="AR32" s="101"/>
      <c r="AS32" s="607"/>
      <c r="AT32" s="607"/>
      <c r="AU32" s="101"/>
      <c r="AV32" s="102"/>
      <c r="AW32" s="102"/>
      <c r="AX32" s="102"/>
      <c r="AY32" s="100"/>
      <c r="AZ32" s="100"/>
      <c r="BA32" s="101"/>
      <c r="BB32" s="100"/>
      <c r="BC32" s="66"/>
      <c r="BD32" s="102"/>
      <c r="BE32" s="100"/>
      <c r="BF32" s="66"/>
      <c r="BG32" s="102"/>
      <c r="BH32" s="381"/>
      <c r="BI32" s="381"/>
      <c r="BJ32" s="104"/>
      <c r="BK32" s="105"/>
      <c r="BL32" s="381"/>
      <c r="BM32" s="381"/>
      <c r="BN32" s="104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3"/>
      <c r="CC32" s="103"/>
      <c r="CD32" s="102"/>
      <c r="CE32" s="102"/>
      <c r="CF32" s="102"/>
      <c r="CG32" s="506" t="str">
        <f t="array" ref="CG32">IF(CF32=0,"нет",CE32/CF32/COUNTIF(Кадры!$B$20:$B$75,ИНСТИТУТ!D32)*100)</f>
        <v>нет</v>
      </c>
      <c r="CH32" s="695"/>
      <c r="CI32" s="695"/>
      <c r="CJ32" s="695"/>
      <c r="CK32" s="695"/>
      <c r="CL32" s="695"/>
      <c r="CM32" s="695"/>
      <c r="CO32" s="141"/>
      <c r="CP32" s="155"/>
      <c r="CS32" s="93"/>
      <c r="CT32" s="93"/>
      <c r="CU32" s="93"/>
      <c r="CV32" s="93"/>
      <c r="CW32" s="93"/>
      <c r="CX32" s="93"/>
      <c r="CY32" s="93"/>
      <c r="CZ32" s="93"/>
      <c r="DB32" s="94"/>
      <c r="DC32" s="94"/>
      <c r="DD32" s="94"/>
      <c r="DE32" s="94" t="e">
        <f t="shared" si="54"/>
        <v>#VALUE!</v>
      </c>
      <c r="DF32" s="94" t="e">
        <f t="shared" si="54"/>
        <v>#VALUE!</v>
      </c>
      <c r="DG32" s="94" t="e">
        <f t="shared" si="54"/>
        <v>#VALUE!</v>
      </c>
      <c r="DH32" s="94" t="e">
        <f t="shared" si="54"/>
        <v>#VALUE!</v>
      </c>
      <c r="DI32" s="94" t="e">
        <f t="shared" si="54"/>
        <v>#VALUE!</v>
      </c>
      <c r="DK32" s="95"/>
      <c r="DL32" s="95"/>
      <c r="DM32" s="90"/>
      <c r="DO32" s="95"/>
      <c r="DP32" s="95"/>
      <c r="DQ32" s="90"/>
      <c r="DT32" s="149"/>
      <c r="DU32" s="149"/>
      <c r="DV32" s="149"/>
      <c r="DW32" s="149"/>
      <c r="DX32" s="149"/>
      <c r="DY32" s="149"/>
      <c r="DZ32" s="149"/>
      <c r="EC32" s="168">
        <f t="shared" si="43"/>
        <v>0</v>
      </c>
    </row>
    <row r="33" spans="1:133" ht="18" hidden="1" customHeight="1" x14ac:dyDescent="0.25">
      <c r="A33" s="139"/>
      <c r="B33" s="97"/>
      <c r="C33" s="139"/>
      <c r="D33" s="139"/>
      <c r="E33" s="157"/>
      <c r="F33" s="100"/>
      <c r="G33" s="100"/>
      <c r="H33" s="101"/>
      <c r="I33" s="100"/>
      <c r="J33" s="100"/>
      <c r="K33" s="101"/>
      <c r="L33" s="100"/>
      <c r="M33" s="100"/>
      <c r="N33" s="101"/>
      <c r="O33" s="100"/>
      <c r="P33" s="100"/>
      <c r="Q33" s="101"/>
      <c r="R33" s="100"/>
      <c r="S33" s="905"/>
      <c r="T33" s="100"/>
      <c r="U33" s="905"/>
      <c r="V33" s="101"/>
      <c r="W33" s="100"/>
      <c r="X33" s="100"/>
      <c r="Y33" s="100"/>
      <c r="Z33" s="100"/>
      <c r="AA33" s="101"/>
      <c r="AB33" s="100"/>
      <c r="AC33" s="607"/>
      <c r="AD33" s="607"/>
      <c r="AE33" s="100"/>
      <c r="AF33" s="101" t="str">
        <f t="shared" si="48"/>
        <v>нет</v>
      </c>
      <c r="AG33" s="100"/>
      <c r="AH33" s="100"/>
      <c r="AI33" s="101"/>
      <c r="AJ33" s="100"/>
      <c r="AK33" s="100"/>
      <c r="AL33" s="101"/>
      <c r="AM33" s="101"/>
      <c r="AN33" s="101"/>
      <c r="AO33" s="101"/>
      <c r="AP33" s="946"/>
      <c r="AQ33" s="946"/>
      <c r="AR33" s="101"/>
      <c r="AS33" s="607"/>
      <c r="AT33" s="607"/>
      <c r="AU33" s="101"/>
      <c r="AV33" s="102"/>
      <c r="AW33" s="102"/>
      <c r="AX33" s="102"/>
      <c r="AY33" s="100"/>
      <c r="AZ33" s="100"/>
      <c r="BA33" s="101"/>
      <c r="BB33" s="100"/>
      <c r="BC33" s="66"/>
      <c r="BD33" s="102"/>
      <c r="BE33" s="100"/>
      <c r="BF33" s="66"/>
      <c r="BG33" s="102"/>
      <c r="BH33" s="381"/>
      <c r="BI33" s="381"/>
      <c r="BJ33" s="104"/>
      <c r="BK33" s="105"/>
      <c r="BL33" s="381"/>
      <c r="BM33" s="381"/>
      <c r="BN33" s="104"/>
      <c r="BO33" s="105"/>
      <c r="BP33" s="105"/>
      <c r="BQ33" s="105"/>
      <c r="BR33" s="105"/>
      <c r="BS33" s="105"/>
      <c r="BT33" s="105"/>
      <c r="BU33" s="105"/>
      <c r="BV33" s="105"/>
      <c r="BW33" s="105"/>
      <c r="BX33" s="105"/>
      <c r="BY33" s="105"/>
      <c r="BZ33" s="105"/>
      <c r="CA33" s="105"/>
      <c r="CB33" s="103"/>
      <c r="CC33" s="103"/>
      <c r="CD33" s="102"/>
      <c r="CE33" s="102"/>
      <c r="CF33" s="102"/>
      <c r="CG33" s="506" t="str">
        <f t="array" ref="CG33">IF(CF33=0,"нет",CE33/CF33/COUNTIF(Кадры!$B$20:$B$75,ИНСТИТУТ!D33)*100)</f>
        <v>нет</v>
      </c>
      <c r="CH33" s="695"/>
      <c r="CI33" s="695"/>
      <c r="CJ33" s="695"/>
      <c r="CK33" s="695"/>
      <c r="CL33" s="695"/>
      <c r="CM33" s="695"/>
      <c r="CO33" s="141"/>
      <c r="CP33" s="155"/>
      <c r="CS33" s="93"/>
      <c r="CT33" s="93"/>
      <c r="CU33" s="93"/>
      <c r="CV33" s="93"/>
      <c r="CW33" s="93"/>
      <c r="CX33" s="93"/>
      <c r="CY33" s="93"/>
      <c r="CZ33" s="93"/>
      <c r="DB33" s="94"/>
      <c r="DC33" s="94"/>
      <c r="DD33" s="94"/>
      <c r="DE33" s="94" t="e">
        <f t="shared" si="54"/>
        <v>#VALUE!</v>
      </c>
      <c r="DF33" s="94" t="e">
        <f t="shared" si="54"/>
        <v>#VALUE!</v>
      </c>
      <c r="DG33" s="94" t="e">
        <f t="shared" si="54"/>
        <v>#VALUE!</v>
      </c>
      <c r="DH33" s="94" t="e">
        <f t="shared" si="54"/>
        <v>#VALUE!</v>
      </c>
      <c r="DI33" s="94" t="e">
        <f t="shared" si="54"/>
        <v>#VALUE!</v>
      </c>
      <c r="DK33" s="95"/>
      <c r="DL33" s="95"/>
      <c r="DM33" s="90"/>
      <c r="DO33" s="95"/>
      <c r="DP33" s="95"/>
      <c r="DQ33" s="90"/>
      <c r="DT33" s="149"/>
      <c r="DU33" s="149"/>
      <c r="DV33" s="149"/>
      <c r="DW33" s="149"/>
      <c r="DX33" s="149"/>
      <c r="DY33" s="149"/>
      <c r="DZ33" s="149"/>
      <c r="EC33" s="168">
        <f t="shared" si="43"/>
        <v>0</v>
      </c>
    </row>
    <row r="34" spans="1:133" ht="18" hidden="1" customHeight="1" x14ac:dyDescent="0.25">
      <c r="A34" s="139"/>
      <c r="B34" s="97"/>
      <c r="C34" s="139"/>
      <c r="D34" s="139"/>
      <c r="E34" s="157"/>
      <c r="F34" s="100"/>
      <c r="G34" s="100"/>
      <c r="H34" s="101"/>
      <c r="I34" s="100"/>
      <c r="J34" s="100"/>
      <c r="K34" s="101"/>
      <c r="L34" s="100"/>
      <c r="M34" s="100"/>
      <c r="N34" s="101"/>
      <c r="O34" s="100"/>
      <c r="P34" s="100"/>
      <c r="Q34" s="101"/>
      <c r="R34" s="100"/>
      <c r="S34" s="905"/>
      <c r="T34" s="100"/>
      <c r="U34" s="905"/>
      <c r="V34" s="101"/>
      <c r="W34" s="100"/>
      <c r="X34" s="100"/>
      <c r="Y34" s="100"/>
      <c r="Z34" s="100"/>
      <c r="AA34" s="101"/>
      <c r="AB34" s="100"/>
      <c r="AC34" s="607"/>
      <c r="AD34" s="607"/>
      <c r="AE34" s="100"/>
      <c r="AF34" s="101" t="str">
        <f t="shared" si="48"/>
        <v>нет</v>
      </c>
      <c r="AG34" s="100"/>
      <c r="AH34" s="100"/>
      <c r="AI34" s="101"/>
      <c r="AJ34" s="100"/>
      <c r="AK34" s="100"/>
      <c r="AL34" s="101"/>
      <c r="AM34" s="101"/>
      <c r="AN34" s="101"/>
      <c r="AO34" s="101"/>
      <c r="AP34" s="946"/>
      <c r="AQ34" s="946"/>
      <c r="AR34" s="101"/>
      <c r="AS34" s="607"/>
      <c r="AT34" s="607"/>
      <c r="AU34" s="101"/>
      <c r="AV34" s="102"/>
      <c r="AW34" s="102"/>
      <c r="AX34" s="102"/>
      <c r="AY34" s="100"/>
      <c r="AZ34" s="100"/>
      <c r="BA34" s="101"/>
      <c r="BB34" s="100"/>
      <c r="BC34" s="66"/>
      <c r="BD34" s="102"/>
      <c r="BE34" s="100"/>
      <c r="BF34" s="66"/>
      <c r="BG34" s="102"/>
      <c r="BH34" s="381"/>
      <c r="BI34" s="381"/>
      <c r="BJ34" s="104"/>
      <c r="BK34" s="105"/>
      <c r="BL34" s="381"/>
      <c r="BM34" s="381"/>
      <c r="BN34" s="104"/>
      <c r="BO34" s="105"/>
      <c r="BP34" s="105"/>
      <c r="BQ34" s="105"/>
      <c r="BR34" s="105"/>
      <c r="BS34" s="105"/>
      <c r="BT34" s="105"/>
      <c r="BU34" s="105"/>
      <c r="BV34" s="105"/>
      <c r="BW34" s="105"/>
      <c r="BX34" s="105"/>
      <c r="BY34" s="105"/>
      <c r="BZ34" s="105"/>
      <c r="CA34" s="105"/>
      <c r="CB34" s="103"/>
      <c r="CC34" s="103"/>
      <c r="CD34" s="102"/>
      <c r="CE34" s="102"/>
      <c r="CF34" s="102"/>
      <c r="CG34" s="506" t="str">
        <f t="array" ref="CG34">IF(CF34=0,"нет",CE34/CF34/COUNTIF(Кадры!$B$20:$B$75,ИНСТИТУТ!D34)*100)</f>
        <v>нет</v>
      </c>
      <c r="CH34" s="695"/>
      <c r="CI34" s="695"/>
      <c r="CJ34" s="695"/>
      <c r="CK34" s="695"/>
      <c r="CL34" s="695"/>
      <c r="CM34" s="695"/>
      <c r="CO34" s="141"/>
      <c r="CP34" s="155"/>
      <c r="CS34" s="93"/>
      <c r="CT34" s="93"/>
      <c r="CU34" s="93"/>
      <c r="CV34" s="93"/>
      <c r="CW34" s="93"/>
      <c r="CX34" s="93"/>
      <c r="CY34" s="93"/>
      <c r="CZ34" s="93"/>
      <c r="DB34" s="94"/>
      <c r="DC34" s="94"/>
      <c r="DD34" s="94"/>
      <c r="DE34" s="94" t="e">
        <f t="shared" si="54"/>
        <v>#VALUE!</v>
      </c>
      <c r="DF34" s="94" t="e">
        <f t="shared" si="54"/>
        <v>#VALUE!</v>
      </c>
      <c r="DG34" s="94" t="e">
        <f t="shared" si="54"/>
        <v>#VALUE!</v>
      </c>
      <c r="DH34" s="94" t="e">
        <f t="shared" si="54"/>
        <v>#VALUE!</v>
      </c>
      <c r="DI34" s="94" t="e">
        <f t="shared" si="54"/>
        <v>#VALUE!</v>
      </c>
      <c r="DK34" s="95"/>
      <c r="DL34" s="95"/>
      <c r="DM34" s="90"/>
      <c r="DO34" s="95"/>
      <c r="DP34" s="95"/>
      <c r="DQ34" s="90"/>
      <c r="DT34" s="149"/>
      <c r="DU34" s="149"/>
      <c r="DV34" s="149"/>
      <c r="DW34" s="149"/>
      <c r="DX34" s="149"/>
      <c r="DY34" s="149"/>
      <c r="DZ34" s="149"/>
      <c r="EC34" s="168">
        <f t="shared" si="43"/>
        <v>0</v>
      </c>
    </row>
    <row r="35" spans="1:133" ht="18" hidden="1" customHeight="1" x14ac:dyDescent="0.25">
      <c r="A35" s="139"/>
      <c r="B35" s="97"/>
      <c r="C35" s="139"/>
      <c r="D35" s="139"/>
      <c r="E35" s="157"/>
      <c r="F35" s="100"/>
      <c r="G35" s="100"/>
      <c r="H35" s="101"/>
      <c r="I35" s="100"/>
      <c r="J35" s="100"/>
      <c r="K35" s="101"/>
      <c r="L35" s="100"/>
      <c r="M35" s="100"/>
      <c r="N35" s="101"/>
      <c r="O35" s="100"/>
      <c r="P35" s="100"/>
      <c r="Q35" s="101"/>
      <c r="R35" s="100"/>
      <c r="S35" s="905"/>
      <c r="T35" s="100"/>
      <c r="U35" s="905"/>
      <c r="V35" s="101"/>
      <c r="W35" s="100"/>
      <c r="X35" s="100"/>
      <c r="Y35" s="100"/>
      <c r="Z35" s="100"/>
      <c r="AA35" s="101"/>
      <c r="AB35" s="100"/>
      <c r="AC35" s="607"/>
      <c r="AD35" s="607"/>
      <c r="AE35" s="100"/>
      <c r="AF35" s="101" t="str">
        <f t="shared" si="48"/>
        <v>нет</v>
      </c>
      <c r="AG35" s="100"/>
      <c r="AH35" s="100"/>
      <c r="AI35" s="101"/>
      <c r="AJ35" s="100"/>
      <c r="AK35" s="100"/>
      <c r="AL35" s="101"/>
      <c r="AM35" s="101"/>
      <c r="AN35" s="101"/>
      <c r="AO35" s="101"/>
      <c r="AP35" s="946"/>
      <c r="AQ35" s="946"/>
      <c r="AR35" s="101"/>
      <c r="AS35" s="607"/>
      <c r="AT35" s="607"/>
      <c r="AU35" s="101"/>
      <c r="AV35" s="102"/>
      <c r="AW35" s="102"/>
      <c r="AX35" s="102"/>
      <c r="AY35" s="100"/>
      <c r="AZ35" s="100"/>
      <c r="BA35" s="101"/>
      <c r="BB35" s="100"/>
      <c r="BC35" s="66"/>
      <c r="BD35" s="102"/>
      <c r="BE35" s="100"/>
      <c r="BF35" s="66"/>
      <c r="BG35" s="102"/>
      <c r="BH35" s="381"/>
      <c r="BI35" s="381"/>
      <c r="BJ35" s="104"/>
      <c r="BK35" s="105"/>
      <c r="BL35" s="381"/>
      <c r="BM35" s="381"/>
      <c r="BN35" s="104"/>
      <c r="BO35" s="105"/>
      <c r="BP35" s="105"/>
      <c r="BQ35" s="105"/>
      <c r="BR35" s="105"/>
      <c r="BS35" s="105"/>
      <c r="BT35" s="105"/>
      <c r="BU35" s="105"/>
      <c r="BV35" s="105"/>
      <c r="BW35" s="105"/>
      <c r="BX35" s="105"/>
      <c r="BY35" s="105"/>
      <c r="BZ35" s="105"/>
      <c r="CA35" s="105"/>
      <c r="CB35" s="103"/>
      <c r="CC35" s="103"/>
      <c r="CD35" s="102"/>
      <c r="CE35" s="102"/>
      <c r="CF35" s="102"/>
      <c r="CG35" s="506" t="str">
        <f t="array" ref="CG35">IF(CF35=0,"нет",CE35/CF35/COUNTIF(Кадры!$B$20:$B$75,ИНСТИТУТ!D35)*100)</f>
        <v>нет</v>
      </c>
      <c r="CH35" s="695"/>
      <c r="CI35" s="695"/>
      <c r="CJ35" s="695"/>
      <c r="CK35" s="695"/>
      <c r="CL35" s="695"/>
      <c r="CM35" s="695"/>
      <c r="CO35" s="141"/>
      <c r="CP35" s="155"/>
      <c r="CS35" s="93"/>
      <c r="CT35" s="93"/>
      <c r="CU35" s="93"/>
      <c r="CV35" s="93"/>
      <c r="CW35" s="93"/>
      <c r="CX35" s="93"/>
      <c r="CY35" s="93"/>
      <c r="CZ35" s="93"/>
      <c r="DB35" s="94"/>
      <c r="DC35" s="94"/>
      <c r="DD35" s="94"/>
      <c r="DE35" s="94" t="e">
        <f t="shared" si="54"/>
        <v>#VALUE!</v>
      </c>
      <c r="DF35" s="94" t="e">
        <f t="shared" si="54"/>
        <v>#VALUE!</v>
      </c>
      <c r="DG35" s="94" t="e">
        <f t="shared" si="54"/>
        <v>#VALUE!</v>
      </c>
      <c r="DH35" s="94" t="e">
        <f t="shared" si="54"/>
        <v>#VALUE!</v>
      </c>
      <c r="DI35" s="94" t="e">
        <f t="shared" si="54"/>
        <v>#VALUE!</v>
      </c>
      <c r="DK35" s="95"/>
      <c r="DL35" s="95"/>
      <c r="DM35" s="90"/>
      <c r="DO35" s="95"/>
      <c r="DP35" s="95"/>
      <c r="DQ35" s="90"/>
      <c r="DT35" s="149"/>
      <c r="DU35" s="149"/>
      <c r="DV35" s="149"/>
      <c r="DW35" s="149"/>
      <c r="DX35" s="149"/>
      <c r="DY35" s="149"/>
      <c r="DZ35" s="149"/>
      <c r="EC35" s="168">
        <f t="shared" si="43"/>
        <v>0</v>
      </c>
    </row>
    <row r="36" spans="1:133" ht="18" hidden="1" customHeight="1" x14ac:dyDescent="0.25">
      <c r="A36" s="139"/>
      <c r="B36" s="97"/>
      <c r="C36" s="139"/>
      <c r="D36" s="139"/>
      <c r="E36" s="157"/>
      <c r="F36" s="100"/>
      <c r="G36" s="100"/>
      <c r="H36" s="101"/>
      <c r="I36" s="100"/>
      <c r="J36" s="100"/>
      <c r="K36" s="101"/>
      <c r="L36" s="100"/>
      <c r="M36" s="100"/>
      <c r="N36" s="101"/>
      <c r="O36" s="100"/>
      <c r="P36" s="100"/>
      <c r="Q36" s="101"/>
      <c r="R36" s="100"/>
      <c r="S36" s="905"/>
      <c r="T36" s="100"/>
      <c r="U36" s="905"/>
      <c r="V36" s="101"/>
      <c r="W36" s="100"/>
      <c r="X36" s="100"/>
      <c r="Y36" s="100"/>
      <c r="Z36" s="100"/>
      <c r="AA36" s="101"/>
      <c r="AB36" s="100"/>
      <c r="AC36" s="607"/>
      <c r="AD36" s="607"/>
      <c r="AE36" s="100"/>
      <c r="AF36" s="101" t="str">
        <f t="shared" si="48"/>
        <v>нет</v>
      </c>
      <c r="AG36" s="100"/>
      <c r="AH36" s="100"/>
      <c r="AI36" s="101"/>
      <c r="AJ36" s="100"/>
      <c r="AK36" s="100"/>
      <c r="AL36" s="101"/>
      <c r="AM36" s="101"/>
      <c r="AN36" s="101"/>
      <c r="AO36" s="101"/>
      <c r="AP36" s="946"/>
      <c r="AQ36" s="946"/>
      <c r="AR36" s="101"/>
      <c r="AS36" s="607"/>
      <c r="AT36" s="607"/>
      <c r="AU36" s="101"/>
      <c r="AV36" s="102"/>
      <c r="AW36" s="102"/>
      <c r="AX36" s="102"/>
      <c r="AY36" s="100"/>
      <c r="AZ36" s="100"/>
      <c r="BA36" s="101"/>
      <c r="BB36" s="100"/>
      <c r="BC36" s="66"/>
      <c r="BD36" s="102"/>
      <c r="BE36" s="100"/>
      <c r="BF36" s="66"/>
      <c r="BG36" s="102"/>
      <c r="BH36" s="381"/>
      <c r="BI36" s="381"/>
      <c r="BJ36" s="104"/>
      <c r="BK36" s="105"/>
      <c r="BL36" s="381"/>
      <c r="BM36" s="381"/>
      <c r="BN36" s="104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103"/>
      <c r="CC36" s="103"/>
      <c r="CD36" s="102"/>
      <c r="CE36" s="102"/>
      <c r="CF36" s="102"/>
      <c r="CG36" s="506" t="str">
        <f t="array" ref="CG36">IF(CF36=0,"нет",CE36/CF36/COUNTIF(Кадры!$B$20:$B$75,ИНСТИТУТ!D36)*100)</f>
        <v>нет</v>
      </c>
      <c r="CH36" s="695"/>
      <c r="CI36" s="695"/>
      <c r="CJ36" s="695"/>
      <c r="CK36" s="695"/>
      <c r="CL36" s="695"/>
      <c r="CM36" s="695"/>
      <c r="CO36" s="141"/>
      <c r="CP36" s="155"/>
      <c r="CS36" s="93"/>
      <c r="CT36" s="93"/>
      <c r="CU36" s="93"/>
      <c r="CV36" s="93"/>
      <c r="CW36" s="93"/>
      <c r="CX36" s="93"/>
      <c r="CY36" s="93"/>
      <c r="CZ36" s="93"/>
      <c r="DB36" s="94"/>
      <c r="DC36" s="94"/>
      <c r="DD36" s="94"/>
      <c r="DE36" s="94" t="e">
        <f t="shared" si="54"/>
        <v>#VALUE!</v>
      </c>
      <c r="DF36" s="94" t="e">
        <f t="shared" si="54"/>
        <v>#VALUE!</v>
      </c>
      <c r="DG36" s="94" t="e">
        <f t="shared" si="54"/>
        <v>#VALUE!</v>
      </c>
      <c r="DH36" s="94" t="e">
        <f t="shared" si="54"/>
        <v>#VALUE!</v>
      </c>
      <c r="DI36" s="94" t="e">
        <f t="shared" si="54"/>
        <v>#VALUE!</v>
      </c>
      <c r="DK36" s="95"/>
      <c r="DL36" s="95"/>
      <c r="DM36" s="90"/>
      <c r="DO36" s="95"/>
      <c r="DP36" s="95"/>
      <c r="DQ36" s="90"/>
      <c r="DT36" s="149"/>
      <c r="DU36" s="149"/>
      <c r="DV36" s="149"/>
      <c r="DW36" s="149"/>
      <c r="DX36" s="149"/>
      <c r="DY36" s="149"/>
      <c r="DZ36" s="149"/>
      <c r="EC36" s="168">
        <f t="shared" si="43"/>
        <v>0</v>
      </c>
    </row>
    <row r="37" spans="1:133" ht="18" hidden="1" customHeight="1" x14ac:dyDescent="0.25">
      <c r="A37" s="139"/>
      <c r="B37" s="97"/>
      <c r="C37" s="139"/>
      <c r="D37" s="139"/>
      <c r="E37" s="157"/>
      <c r="F37" s="100"/>
      <c r="G37" s="100"/>
      <c r="H37" s="101"/>
      <c r="I37" s="100"/>
      <c r="J37" s="100"/>
      <c r="K37" s="101"/>
      <c r="L37" s="100"/>
      <c r="M37" s="100"/>
      <c r="N37" s="101"/>
      <c r="O37" s="100"/>
      <c r="P37" s="100"/>
      <c r="Q37" s="101"/>
      <c r="R37" s="100"/>
      <c r="S37" s="905"/>
      <c r="T37" s="100"/>
      <c r="U37" s="905"/>
      <c r="V37" s="101"/>
      <c r="W37" s="100"/>
      <c r="X37" s="100"/>
      <c r="Y37" s="100"/>
      <c r="Z37" s="100"/>
      <c r="AA37" s="101"/>
      <c r="AB37" s="100"/>
      <c r="AC37" s="607"/>
      <c r="AD37" s="607"/>
      <c r="AE37" s="100"/>
      <c r="AF37" s="101" t="str">
        <f t="shared" si="48"/>
        <v>нет</v>
      </c>
      <c r="AG37" s="100"/>
      <c r="AH37" s="100"/>
      <c r="AI37" s="101"/>
      <c r="AJ37" s="100"/>
      <c r="AK37" s="100"/>
      <c r="AL37" s="101"/>
      <c r="AM37" s="101"/>
      <c r="AN37" s="101"/>
      <c r="AO37" s="101"/>
      <c r="AP37" s="946"/>
      <c r="AQ37" s="946"/>
      <c r="AR37" s="101"/>
      <c r="AS37" s="607"/>
      <c r="AT37" s="607"/>
      <c r="AU37" s="101"/>
      <c r="AV37" s="102"/>
      <c r="AW37" s="102"/>
      <c r="AX37" s="102"/>
      <c r="AY37" s="100"/>
      <c r="AZ37" s="100"/>
      <c r="BA37" s="101"/>
      <c r="BB37" s="100"/>
      <c r="BC37" s="66"/>
      <c r="BD37" s="102"/>
      <c r="BE37" s="100"/>
      <c r="BF37" s="66"/>
      <c r="BG37" s="102"/>
      <c r="BH37" s="381"/>
      <c r="BI37" s="381"/>
      <c r="BJ37" s="104"/>
      <c r="BK37" s="105"/>
      <c r="BL37" s="381"/>
      <c r="BM37" s="381"/>
      <c r="BN37" s="104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3"/>
      <c r="CC37" s="103"/>
      <c r="CD37" s="102"/>
      <c r="CE37" s="102"/>
      <c r="CF37" s="102"/>
      <c r="CG37" s="506" t="str">
        <f t="array" ref="CG37">IF(CF37=0,"нет",CE37/CF37/COUNTIF(Кадры!$B$20:$B$75,ИНСТИТУТ!D37)*100)</f>
        <v>нет</v>
      </c>
      <c r="CH37" s="695"/>
      <c r="CI37" s="695"/>
      <c r="CJ37" s="695"/>
      <c r="CK37" s="695"/>
      <c r="CL37" s="695"/>
      <c r="CM37" s="695"/>
      <c r="CO37" s="141"/>
      <c r="CP37" s="155"/>
      <c r="CS37" s="93"/>
      <c r="CT37" s="93"/>
      <c r="CU37" s="93"/>
      <c r="CV37" s="93"/>
      <c r="CW37" s="93"/>
      <c r="CX37" s="93"/>
      <c r="CY37" s="93"/>
      <c r="CZ37" s="93"/>
      <c r="DB37" s="94"/>
      <c r="DC37" s="94"/>
      <c r="DD37" s="94"/>
      <c r="DE37" s="94" t="e">
        <f t="shared" si="54"/>
        <v>#VALUE!</v>
      </c>
      <c r="DF37" s="94" t="e">
        <f t="shared" si="54"/>
        <v>#VALUE!</v>
      </c>
      <c r="DG37" s="94" t="e">
        <f t="shared" si="54"/>
        <v>#VALUE!</v>
      </c>
      <c r="DH37" s="94" t="e">
        <f t="shared" si="54"/>
        <v>#VALUE!</v>
      </c>
      <c r="DI37" s="94" t="e">
        <f t="shared" si="54"/>
        <v>#VALUE!</v>
      </c>
      <c r="DK37" s="95"/>
      <c r="DL37" s="95"/>
      <c r="DM37" s="90"/>
      <c r="DO37" s="95"/>
      <c r="DP37" s="95"/>
      <c r="DQ37" s="90"/>
      <c r="DT37" s="149"/>
      <c r="DU37" s="149"/>
      <c r="DV37" s="149"/>
      <c r="DW37" s="149"/>
      <c r="DX37" s="149"/>
      <c r="DY37" s="149"/>
      <c r="DZ37" s="149"/>
      <c r="EC37" s="168">
        <f t="shared" si="43"/>
        <v>0</v>
      </c>
    </row>
    <row r="38" spans="1:133" ht="18" hidden="1" customHeight="1" x14ac:dyDescent="0.25">
      <c r="A38" s="139"/>
      <c r="B38" s="97"/>
      <c r="C38" s="139"/>
      <c r="D38" s="139"/>
      <c r="E38" s="157"/>
      <c r="F38" s="100"/>
      <c r="G38" s="100"/>
      <c r="H38" s="101"/>
      <c r="I38" s="100"/>
      <c r="J38" s="100"/>
      <c r="K38" s="101"/>
      <c r="L38" s="100"/>
      <c r="M38" s="100"/>
      <c r="N38" s="101"/>
      <c r="O38" s="100"/>
      <c r="P38" s="100"/>
      <c r="Q38" s="101"/>
      <c r="R38" s="100"/>
      <c r="S38" s="905"/>
      <c r="T38" s="100"/>
      <c r="U38" s="905"/>
      <c r="V38" s="101"/>
      <c r="W38" s="100"/>
      <c r="X38" s="100"/>
      <c r="Y38" s="100"/>
      <c r="Z38" s="100"/>
      <c r="AA38" s="101"/>
      <c r="AB38" s="100"/>
      <c r="AC38" s="607"/>
      <c r="AD38" s="607"/>
      <c r="AE38" s="100"/>
      <c r="AF38" s="101" t="str">
        <f t="shared" si="48"/>
        <v>нет</v>
      </c>
      <c r="AG38" s="100"/>
      <c r="AH38" s="100"/>
      <c r="AI38" s="101"/>
      <c r="AJ38" s="100"/>
      <c r="AK38" s="100"/>
      <c r="AL38" s="101"/>
      <c r="AM38" s="101"/>
      <c r="AN38" s="101"/>
      <c r="AO38" s="101"/>
      <c r="AP38" s="946"/>
      <c r="AQ38" s="946"/>
      <c r="AR38" s="101"/>
      <c r="AS38" s="607"/>
      <c r="AT38" s="607"/>
      <c r="AU38" s="101"/>
      <c r="AV38" s="102"/>
      <c r="AW38" s="102"/>
      <c r="AX38" s="102"/>
      <c r="AY38" s="100"/>
      <c r="AZ38" s="100"/>
      <c r="BA38" s="101"/>
      <c r="BB38" s="100"/>
      <c r="BC38" s="66"/>
      <c r="BD38" s="102"/>
      <c r="BE38" s="100"/>
      <c r="BF38" s="66"/>
      <c r="BG38" s="102"/>
      <c r="BH38" s="381"/>
      <c r="BI38" s="381"/>
      <c r="BJ38" s="104"/>
      <c r="BK38" s="105"/>
      <c r="BL38" s="381"/>
      <c r="BM38" s="381"/>
      <c r="BN38" s="104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5"/>
      <c r="CA38" s="105"/>
      <c r="CB38" s="103"/>
      <c r="CC38" s="103"/>
      <c r="CD38" s="102"/>
      <c r="CE38" s="102"/>
      <c r="CF38" s="102"/>
      <c r="CG38" s="506" t="str">
        <f t="array" ref="CG38">IF(CF38=0,"нет",CE38/CF38/COUNTIF(Кадры!$B$20:$B$75,ИНСТИТУТ!D38)*100)</f>
        <v>нет</v>
      </c>
      <c r="CH38" s="695"/>
      <c r="CI38" s="695"/>
      <c r="CJ38" s="695"/>
      <c r="CK38" s="695"/>
      <c r="CL38" s="695"/>
      <c r="CM38" s="695"/>
      <c r="CO38" s="141"/>
      <c r="CP38" s="155"/>
      <c r="CS38" s="93"/>
      <c r="CT38" s="93"/>
      <c r="CU38" s="93"/>
      <c r="CV38" s="93"/>
      <c r="CW38" s="93"/>
      <c r="CX38" s="93"/>
      <c r="CY38" s="93"/>
      <c r="CZ38" s="93"/>
      <c r="DB38" s="94"/>
      <c r="DC38" s="94"/>
      <c r="DD38" s="94"/>
      <c r="DE38" s="94" t="e">
        <f t="shared" ref="DE38:DI47" si="55">SUM(IF($F38:$CM38=нет,0,100)*$F$11:$CM$11*($F$108:$CM$108=DE$4)/100*($F$110:$CM$143*($B$110:$B$143=$B38)*($A$110:$A$143=$A$108)))</f>
        <v>#VALUE!</v>
      </c>
      <c r="DF38" s="94" t="e">
        <f t="shared" si="55"/>
        <v>#VALUE!</v>
      </c>
      <c r="DG38" s="94" t="e">
        <f t="shared" si="55"/>
        <v>#VALUE!</v>
      </c>
      <c r="DH38" s="94" t="e">
        <f t="shared" si="55"/>
        <v>#VALUE!</v>
      </c>
      <c r="DI38" s="94" t="e">
        <f t="shared" si="55"/>
        <v>#VALUE!</v>
      </c>
      <c r="DK38" s="95"/>
      <c r="DL38" s="95"/>
      <c r="DM38" s="90"/>
      <c r="DO38" s="95"/>
      <c r="DP38" s="95"/>
      <c r="DQ38" s="90"/>
      <c r="DT38" s="149"/>
      <c r="DU38" s="149"/>
      <c r="DV38" s="149"/>
      <c r="DW38" s="149"/>
      <c r="DX38" s="149"/>
      <c r="DY38" s="149"/>
      <c r="DZ38" s="149"/>
      <c r="EC38" s="168">
        <f t="shared" si="43"/>
        <v>0</v>
      </c>
    </row>
    <row r="39" spans="1:133" ht="18" hidden="1" customHeight="1" x14ac:dyDescent="0.25">
      <c r="A39" s="139"/>
      <c r="B39" s="97"/>
      <c r="C39" s="139"/>
      <c r="D39" s="139"/>
      <c r="E39" s="157"/>
      <c r="F39" s="100"/>
      <c r="G39" s="100"/>
      <c r="H39" s="101"/>
      <c r="I39" s="100"/>
      <c r="J39" s="100"/>
      <c r="K39" s="101"/>
      <c r="L39" s="100"/>
      <c r="M39" s="100"/>
      <c r="N39" s="101"/>
      <c r="O39" s="100"/>
      <c r="P39" s="100"/>
      <c r="Q39" s="101"/>
      <c r="R39" s="100"/>
      <c r="S39" s="905"/>
      <c r="T39" s="100"/>
      <c r="U39" s="905"/>
      <c r="V39" s="101"/>
      <c r="W39" s="100"/>
      <c r="X39" s="100"/>
      <c r="Y39" s="100"/>
      <c r="Z39" s="100"/>
      <c r="AA39" s="101"/>
      <c r="AB39" s="100"/>
      <c r="AC39" s="607"/>
      <c r="AD39" s="607"/>
      <c r="AE39" s="100"/>
      <c r="AF39" s="101" t="str">
        <f t="shared" si="48"/>
        <v>нет</v>
      </c>
      <c r="AG39" s="100"/>
      <c r="AH39" s="100"/>
      <c r="AI39" s="101"/>
      <c r="AJ39" s="100"/>
      <c r="AK39" s="100"/>
      <c r="AL39" s="101"/>
      <c r="AM39" s="101"/>
      <c r="AN39" s="101"/>
      <c r="AO39" s="101"/>
      <c r="AP39" s="946"/>
      <c r="AQ39" s="946"/>
      <c r="AR39" s="101"/>
      <c r="AS39" s="607"/>
      <c r="AT39" s="607"/>
      <c r="AU39" s="101"/>
      <c r="AV39" s="102"/>
      <c r="AW39" s="102"/>
      <c r="AX39" s="102"/>
      <c r="AY39" s="100"/>
      <c r="AZ39" s="100"/>
      <c r="BA39" s="101"/>
      <c r="BB39" s="100"/>
      <c r="BC39" s="66"/>
      <c r="BD39" s="102"/>
      <c r="BE39" s="100"/>
      <c r="BF39" s="66"/>
      <c r="BG39" s="102"/>
      <c r="BH39" s="381"/>
      <c r="BI39" s="381"/>
      <c r="BJ39" s="104"/>
      <c r="BK39" s="105"/>
      <c r="BL39" s="381"/>
      <c r="BM39" s="381"/>
      <c r="BN39" s="104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3"/>
      <c r="CC39" s="103"/>
      <c r="CD39" s="102"/>
      <c r="CE39" s="102"/>
      <c r="CF39" s="102"/>
      <c r="CG39" s="506" t="str">
        <f t="array" ref="CG39">IF(CF39=0,"нет",CE39/CF39/COUNTIF(Кадры!$B$20:$B$75,ИНСТИТУТ!D39)*100)</f>
        <v>нет</v>
      </c>
      <c r="CH39" s="695"/>
      <c r="CI39" s="695"/>
      <c r="CJ39" s="695"/>
      <c r="CK39" s="695"/>
      <c r="CL39" s="695"/>
      <c r="CM39" s="695"/>
      <c r="CO39" s="141"/>
      <c r="CP39" s="155"/>
      <c r="CS39" s="93"/>
      <c r="CT39" s="93"/>
      <c r="CU39" s="93"/>
      <c r="CV39" s="93"/>
      <c r="CW39" s="93"/>
      <c r="CX39" s="93"/>
      <c r="CY39" s="93"/>
      <c r="CZ39" s="93"/>
      <c r="DB39" s="94"/>
      <c r="DC39" s="94"/>
      <c r="DD39" s="94"/>
      <c r="DE39" s="94" t="e">
        <f t="shared" si="55"/>
        <v>#VALUE!</v>
      </c>
      <c r="DF39" s="94" t="e">
        <f t="shared" si="55"/>
        <v>#VALUE!</v>
      </c>
      <c r="DG39" s="94" t="e">
        <f t="shared" si="55"/>
        <v>#VALUE!</v>
      </c>
      <c r="DH39" s="94" t="e">
        <f t="shared" si="55"/>
        <v>#VALUE!</v>
      </c>
      <c r="DI39" s="94" t="e">
        <f t="shared" si="55"/>
        <v>#VALUE!</v>
      </c>
      <c r="DK39" s="95"/>
      <c r="DL39" s="95"/>
      <c r="DM39" s="90"/>
      <c r="DO39" s="95"/>
      <c r="DP39" s="95"/>
      <c r="DQ39" s="90"/>
      <c r="DT39" s="149"/>
      <c r="DU39" s="149"/>
      <c r="DV39" s="149"/>
      <c r="DW39" s="149"/>
      <c r="DX39" s="149"/>
      <c r="DY39" s="149"/>
      <c r="DZ39" s="149"/>
      <c r="EC39" s="168">
        <f t="shared" si="43"/>
        <v>0</v>
      </c>
    </row>
    <row r="40" spans="1:133" ht="18" hidden="1" customHeight="1" x14ac:dyDescent="0.25">
      <c r="A40" s="139"/>
      <c r="B40" s="97"/>
      <c r="C40" s="139"/>
      <c r="D40" s="139"/>
      <c r="E40" s="157"/>
      <c r="F40" s="100"/>
      <c r="G40" s="100"/>
      <c r="H40" s="101"/>
      <c r="I40" s="100"/>
      <c r="J40" s="100"/>
      <c r="K40" s="101"/>
      <c r="L40" s="100"/>
      <c r="M40" s="100"/>
      <c r="N40" s="101"/>
      <c r="O40" s="100"/>
      <c r="P40" s="100"/>
      <c r="Q40" s="101"/>
      <c r="R40" s="100"/>
      <c r="S40" s="905"/>
      <c r="T40" s="100"/>
      <c r="U40" s="905"/>
      <c r="V40" s="101"/>
      <c r="W40" s="100"/>
      <c r="X40" s="100"/>
      <c r="Y40" s="100"/>
      <c r="Z40" s="100"/>
      <c r="AA40" s="101"/>
      <c r="AB40" s="100"/>
      <c r="AC40" s="607"/>
      <c r="AD40" s="607"/>
      <c r="AE40" s="100"/>
      <c r="AF40" s="101" t="str">
        <f t="shared" si="48"/>
        <v>нет</v>
      </c>
      <c r="AG40" s="100"/>
      <c r="AH40" s="100"/>
      <c r="AI40" s="101"/>
      <c r="AJ40" s="100"/>
      <c r="AK40" s="100"/>
      <c r="AL40" s="101"/>
      <c r="AM40" s="101"/>
      <c r="AN40" s="101"/>
      <c r="AO40" s="101"/>
      <c r="AP40" s="946"/>
      <c r="AQ40" s="946"/>
      <c r="AR40" s="101"/>
      <c r="AS40" s="607"/>
      <c r="AT40" s="607"/>
      <c r="AU40" s="101"/>
      <c r="AV40" s="102"/>
      <c r="AW40" s="102"/>
      <c r="AX40" s="102"/>
      <c r="AY40" s="100"/>
      <c r="AZ40" s="100"/>
      <c r="BA40" s="101"/>
      <c r="BB40" s="100"/>
      <c r="BC40" s="66"/>
      <c r="BD40" s="102"/>
      <c r="BE40" s="100"/>
      <c r="BF40" s="66"/>
      <c r="BG40" s="102"/>
      <c r="BH40" s="381"/>
      <c r="BI40" s="381"/>
      <c r="BJ40" s="104"/>
      <c r="BK40" s="105"/>
      <c r="BL40" s="381"/>
      <c r="BM40" s="381"/>
      <c r="BN40" s="104"/>
      <c r="BO40" s="105"/>
      <c r="BP40" s="105"/>
      <c r="BQ40" s="105"/>
      <c r="BR40" s="105"/>
      <c r="BS40" s="105"/>
      <c r="BT40" s="105"/>
      <c r="BU40" s="105"/>
      <c r="BV40" s="105"/>
      <c r="BW40" s="105"/>
      <c r="BX40" s="105"/>
      <c r="BY40" s="105"/>
      <c r="BZ40" s="105"/>
      <c r="CA40" s="105"/>
      <c r="CB40" s="103"/>
      <c r="CC40" s="103"/>
      <c r="CD40" s="102"/>
      <c r="CE40" s="102"/>
      <c r="CF40" s="102"/>
      <c r="CG40" s="506" t="str">
        <f t="array" ref="CG40">IF(CF40=0,"нет",CE40/CF40/COUNTIF(Кадры!$B$20:$B$75,ИНСТИТУТ!D40)*100)</f>
        <v>нет</v>
      </c>
      <c r="CH40" s="695"/>
      <c r="CI40" s="695"/>
      <c r="CJ40" s="695"/>
      <c r="CK40" s="695"/>
      <c r="CL40" s="695"/>
      <c r="CM40" s="695"/>
      <c r="CO40" s="141"/>
      <c r="CP40" s="155"/>
      <c r="CS40" s="93"/>
      <c r="CT40" s="93"/>
      <c r="CU40" s="93"/>
      <c r="CV40" s="93"/>
      <c r="CW40" s="93"/>
      <c r="CX40" s="93"/>
      <c r="CY40" s="93"/>
      <c r="CZ40" s="93"/>
      <c r="DB40" s="94"/>
      <c r="DC40" s="94"/>
      <c r="DD40" s="94"/>
      <c r="DE40" s="94" t="e">
        <f t="shared" si="55"/>
        <v>#VALUE!</v>
      </c>
      <c r="DF40" s="94" t="e">
        <f t="shared" si="55"/>
        <v>#VALUE!</v>
      </c>
      <c r="DG40" s="94" t="e">
        <f t="shared" si="55"/>
        <v>#VALUE!</v>
      </c>
      <c r="DH40" s="94" t="e">
        <f t="shared" si="55"/>
        <v>#VALUE!</v>
      </c>
      <c r="DI40" s="94" t="e">
        <f t="shared" si="55"/>
        <v>#VALUE!</v>
      </c>
      <c r="DK40" s="95"/>
      <c r="DL40" s="95"/>
      <c r="DM40" s="90"/>
      <c r="DO40" s="95"/>
      <c r="DP40" s="95"/>
      <c r="DQ40" s="90"/>
      <c r="DT40" s="149"/>
      <c r="DU40" s="149"/>
      <c r="DV40" s="149"/>
      <c r="DW40" s="149"/>
      <c r="DX40" s="149"/>
      <c r="DY40" s="149"/>
      <c r="DZ40" s="149"/>
      <c r="EC40" s="168">
        <f t="shared" si="43"/>
        <v>0</v>
      </c>
    </row>
    <row r="41" spans="1:133" ht="18" hidden="1" customHeight="1" x14ac:dyDescent="0.25">
      <c r="A41" s="139"/>
      <c r="B41" s="97"/>
      <c r="C41" s="139"/>
      <c r="D41" s="139"/>
      <c r="E41" s="157"/>
      <c r="F41" s="100"/>
      <c r="G41" s="100"/>
      <c r="H41" s="101"/>
      <c r="I41" s="100"/>
      <c r="J41" s="100"/>
      <c r="K41" s="101"/>
      <c r="L41" s="100"/>
      <c r="M41" s="100"/>
      <c r="N41" s="101"/>
      <c r="O41" s="100"/>
      <c r="P41" s="100"/>
      <c r="Q41" s="101"/>
      <c r="R41" s="100"/>
      <c r="S41" s="905"/>
      <c r="T41" s="100"/>
      <c r="U41" s="905"/>
      <c r="V41" s="101"/>
      <c r="W41" s="100"/>
      <c r="X41" s="100"/>
      <c r="Y41" s="100"/>
      <c r="Z41" s="100"/>
      <c r="AA41" s="101"/>
      <c r="AB41" s="100"/>
      <c r="AC41" s="607"/>
      <c r="AD41" s="607"/>
      <c r="AE41" s="100"/>
      <c r="AF41" s="101" t="str">
        <f t="shared" si="48"/>
        <v>нет</v>
      </c>
      <c r="AG41" s="100"/>
      <c r="AH41" s="100"/>
      <c r="AI41" s="101"/>
      <c r="AJ41" s="100"/>
      <c r="AK41" s="100"/>
      <c r="AL41" s="101"/>
      <c r="AM41" s="101"/>
      <c r="AN41" s="101"/>
      <c r="AO41" s="101"/>
      <c r="AP41" s="946"/>
      <c r="AQ41" s="946"/>
      <c r="AR41" s="101"/>
      <c r="AS41" s="607"/>
      <c r="AT41" s="607"/>
      <c r="AU41" s="101"/>
      <c r="AV41" s="102"/>
      <c r="AW41" s="102"/>
      <c r="AX41" s="102"/>
      <c r="AY41" s="100"/>
      <c r="AZ41" s="100"/>
      <c r="BA41" s="101"/>
      <c r="BB41" s="100"/>
      <c r="BC41" s="66"/>
      <c r="BD41" s="102"/>
      <c r="BE41" s="100"/>
      <c r="BF41" s="66"/>
      <c r="BG41" s="102"/>
      <c r="BH41" s="381"/>
      <c r="BI41" s="381"/>
      <c r="BJ41" s="104"/>
      <c r="BK41" s="105"/>
      <c r="BL41" s="381"/>
      <c r="BM41" s="381"/>
      <c r="BN41" s="104"/>
      <c r="BO41" s="105"/>
      <c r="BP41" s="105"/>
      <c r="BQ41" s="105"/>
      <c r="BR41" s="105"/>
      <c r="BS41" s="105"/>
      <c r="BT41" s="105"/>
      <c r="BU41" s="105"/>
      <c r="BV41" s="105"/>
      <c r="BW41" s="105"/>
      <c r="BX41" s="105"/>
      <c r="BY41" s="105"/>
      <c r="BZ41" s="105"/>
      <c r="CA41" s="105"/>
      <c r="CB41" s="103"/>
      <c r="CC41" s="103"/>
      <c r="CD41" s="102"/>
      <c r="CE41" s="102"/>
      <c r="CF41" s="102"/>
      <c r="CG41" s="506" t="str">
        <f t="array" ref="CG41">IF(CF41=0,"нет",CE41/CF41/COUNTIF(Кадры!$B$20:$B$75,ИНСТИТУТ!D41)*100)</f>
        <v>нет</v>
      </c>
      <c r="CH41" s="695"/>
      <c r="CI41" s="695"/>
      <c r="CJ41" s="695"/>
      <c r="CK41" s="695"/>
      <c r="CL41" s="695"/>
      <c r="CM41" s="695"/>
      <c r="CO41" s="141"/>
      <c r="CP41" s="155"/>
      <c r="CS41" s="93"/>
      <c r="CT41" s="93"/>
      <c r="CU41" s="93"/>
      <c r="CV41" s="93"/>
      <c r="CW41" s="93"/>
      <c r="CX41" s="93"/>
      <c r="CY41" s="93"/>
      <c r="CZ41" s="93"/>
      <c r="DB41" s="94"/>
      <c r="DC41" s="94"/>
      <c r="DD41" s="94"/>
      <c r="DE41" s="94" t="e">
        <f t="shared" si="55"/>
        <v>#VALUE!</v>
      </c>
      <c r="DF41" s="94" t="e">
        <f t="shared" si="55"/>
        <v>#VALUE!</v>
      </c>
      <c r="DG41" s="94" t="e">
        <f t="shared" si="55"/>
        <v>#VALUE!</v>
      </c>
      <c r="DH41" s="94" t="e">
        <f t="shared" si="55"/>
        <v>#VALUE!</v>
      </c>
      <c r="DI41" s="94" t="e">
        <f t="shared" si="55"/>
        <v>#VALUE!</v>
      </c>
      <c r="DK41" s="95"/>
      <c r="DL41" s="95"/>
      <c r="DM41" s="90"/>
      <c r="DO41" s="95"/>
      <c r="DP41" s="95"/>
      <c r="DQ41" s="90"/>
      <c r="DT41" s="149"/>
      <c r="DU41" s="149"/>
      <c r="DV41" s="149"/>
      <c r="DW41" s="149"/>
      <c r="DX41" s="149"/>
      <c r="DY41" s="149"/>
      <c r="DZ41" s="149"/>
      <c r="EC41" s="168">
        <f t="shared" si="43"/>
        <v>0</v>
      </c>
    </row>
    <row r="42" spans="1:133" ht="18" hidden="1" customHeight="1" x14ac:dyDescent="0.25">
      <c r="A42" s="139"/>
      <c r="B42" s="97"/>
      <c r="C42" s="139"/>
      <c r="D42" s="139"/>
      <c r="E42" s="157"/>
      <c r="F42" s="100"/>
      <c r="G42" s="100"/>
      <c r="H42" s="101"/>
      <c r="I42" s="100"/>
      <c r="J42" s="100"/>
      <c r="K42" s="101"/>
      <c r="L42" s="100"/>
      <c r="M42" s="100"/>
      <c r="N42" s="101"/>
      <c r="O42" s="100"/>
      <c r="P42" s="100"/>
      <c r="Q42" s="101"/>
      <c r="R42" s="100"/>
      <c r="S42" s="905"/>
      <c r="T42" s="100"/>
      <c r="U42" s="905"/>
      <c r="V42" s="101"/>
      <c r="W42" s="100"/>
      <c r="X42" s="100"/>
      <c r="Y42" s="100"/>
      <c r="Z42" s="100"/>
      <c r="AA42" s="101"/>
      <c r="AB42" s="100"/>
      <c r="AC42" s="607"/>
      <c r="AD42" s="607"/>
      <c r="AE42" s="100"/>
      <c r="AF42" s="101" t="str">
        <f t="shared" si="48"/>
        <v>нет</v>
      </c>
      <c r="AG42" s="100"/>
      <c r="AH42" s="100"/>
      <c r="AI42" s="101"/>
      <c r="AJ42" s="100"/>
      <c r="AK42" s="100"/>
      <c r="AL42" s="101"/>
      <c r="AM42" s="101"/>
      <c r="AN42" s="101"/>
      <c r="AO42" s="101"/>
      <c r="AP42" s="946"/>
      <c r="AQ42" s="946"/>
      <c r="AR42" s="101"/>
      <c r="AS42" s="607"/>
      <c r="AT42" s="607"/>
      <c r="AU42" s="101"/>
      <c r="AV42" s="102"/>
      <c r="AW42" s="102"/>
      <c r="AX42" s="102"/>
      <c r="AY42" s="100"/>
      <c r="AZ42" s="100"/>
      <c r="BA42" s="101"/>
      <c r="BB42" s="100"/>
      <c r="BC42" s="66"/>
      <c r="BD42" s="102"/>
      <c r="BE42" s="100"/>
      <c r="BF42" s="66"/>
      <c r="BG42" s="102"/>
      <c r="BH42" s="381"/>
      <c r="BI42" s="381"/>
      <c r="BJ42" s="104"/>
      <c r="BK42" s="105"/>
      <c r="BL42" s="381"/>
      <c r="BM42" s="381"/>
      <c r="BN42" s="104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3"/>
      <c r="CC42" s="103"/>
      <c r="CD42" s="102"/>
      <c r="CE42" s="102"/>
      <c r="CF42" s="102"/>
      <c r="CG42" s="506" t="str">
        <f t="array" ref="CG42">IF(CF42=0,"нет",CE42/CF42/COUNTIF(Кадры!$B$20:$B$75,ИНСТИТУТ!D42)*100)</f>
        <v>нет</v>
      </c>
      <c r="CH42" s="695"/>
      <c r="CI42" s="695"/>
      <c r="CJ42" s="695"/>
      <c r="CK42" s="695"/>
      <c r="CL42" s="695"/>
      <c r="CM42" s="695"/>
      <c r="CO42" s="141"/>
      <c r="CP42" s="155"/>
      <c r="CS42" s="93"/>
      <c r="CT42" s="93"/>
      <c r="CU42" s="93"/>
      <c r="CV42" s="93"/>
      <c r="CW42" s="93"/>
      <c r="CX42" s="93"/>
      <c r="CY42" s="93"/>
      <c r="CZ42" s="93"/>
      <c r="DB42" s="94"/>
      <c r="DC42" s="94"/>
      <c r="DD42" s="94"/>
      <c r="DE42" s="94" t="e">
        <f t="shared" si="55"/>
        <v>#VALUE!</v>
      </c>
      <c r="DF42" s="94" t="e">
        <f t="shared" si="55"/>
        <v>#VALUE!</v>
      </c>
      <c r="DG42" s="94" t="e">
        <f t="shared" si="55"/>
        <v>#VALUE!</v>
      </c>
      <c r="DH42" s="94" t="e">
        <f t="shared" si="55"/>
        <v>#VALUE!</v>
      </c>
      <c r="DI42" s="94" t="e">
        <f t="shared" si="55"/>
        <v>#VALUE!</v>
      </c>
      <c r="DK42" s="95"/>
      <c r="DL42" s="95"/>
      <c r="DM42" s="90"/>
      <c r="DO42" s="95"/>
      <c r="DP42" s="95"/>
      <c r="DQ42" s="90"/>
      <c r="DT42" s="149"/>
      <c r="DU42" s="149"/>
      <c r="DV42" s="149"/>
      <c r="DW42" s="149"/>
      <c r="DX42" s="149"/>
      <c r="DY42" s="149"/>
      <c r="DZ42" s="149"/>
      <c r="EC42" s="168">
        <f t="shared" si="43"/>
        <v>0</v>
      </c>
    </row>
    <row r="43" spans="1:133" ht="18" hidden="1" customHeight="1" x14ac:dyDescent="0.25">
      <c r="A43" s="139"/>
      <c r="B43" s="97"/>
      <c r="C43" s="139"/>
      <c r="D43" s="139"/>
      <c r="E43" s="157"/>
      <c r="F43" s="100"/>
      <c r="G43" s="100"/>
      <c r="H43" s="101"/>
      <c r="I43" s="100"/>
      <c r="J43" s="100"/>
      <c r="K43" s="101"/>
      <c r="L43" s="100"/>
      <c r="M43" s="100"/>
      <c r="N43" s="101"/>
      <c r="O43" s="100"/>
      <c r="P43" s="100"/>
      <c r="Q43" s="101"/>
      <c r="R43" s="100"/>
      <c r="S43" s="905"/>
      <c r="T43" s="100"/>
      <c r="U43" s="905"/>
      <c r="V43" s="101"/>
      <c r="W43" s="100"/>
      <c r="X43" s="100"/>
      <c r="Y43" s="100"/>
      <c r="Z43" s="100"/>
      <c r="AA43" s="101"/>
      <c r="AB43" s="100"/>
      <c r="AC43" s="607"/>
      <c r="AD43" s="607"/>
      <c r="AE43" s="100"/>
      <c r="AF43" s="101" t="str">
        <f t="shared" si="48"/>
        <v>нет</v>
      </c>
      <c r="AG43" s="100"/>
      <c r="AH43" s="100"/>
      <c r="AI43" s="101"/>
      <c r="AJ43" s="100"/>
      <c r="AK43" s="100"/>
      <c r="AL43" s="101"/>
      <c r="AM43" s="101"/>
      <c r="AN43" s="101"/>
      <c r="AO43" s="101"/>
      <c r="AP43" s="946"/>
      <c r="AQ43" s="946"/>
      <c r="AR43" s="101"/>
      <c r="AS43" s="607"/>
      <c r="AT43" s="607"/>
      <c r="AU43" s="101"/>
      <c r="AV43" s="102"/>
      <c r="AW43" s="102"/>
      <c r="AX43" s="102"/>
      <c r="AY43" s="100"/>
      <c r="AZ43" s="100"/>
      <c r="BA43" s="101"/>
      <c r="BB43" s="100"/>
      <c r="BC43" s="66"/>
      <c r="BD43" s="102"/>
      <c r="BE43" s="100"/>
      <c r="BF43" s="66"/>
      <c r="BG43" s="102"/>
      <c r="BH43" s="381"/>
      <c r="BI43" s="381"/>
      <c r="BJ43" s="104"/>
      <c r="BK43" s="105"/>
      <c r="BL43" s="381"/>
      <c r="BM43" s="381"/>
      <c r="BN43" s="104"/>
      <c r="BO43" s="105"/>
      <c r="BP43" s="105"/>
      <c r="BQ43" s="105"/>
      <c r="BR43" s="105"/>
      <c r="BS43" s="105"/>
      <c r="BT43" s="105"/>
      <c r="BU43" s="105"/>
      <c r="BV43" s="105"/>
      <c r="BW43" s="105"/>
      <c r="BX43" s="105"/>
      <c r="BY43" s="105"/>
      <c r="BZ43" s="105"/>
      <c r="CA43" s="105"/>
      <c r="CB43" s="103"/>
      <c r="CC43" s="103"/>
      <c r="CD43" s="102"/>
      <c r="CE43" s="102"/>
      <c r="CF43" s="102"/>
      <c r="CG43" s="506" t="str">
        <f t="array" ref="CG43">IF(CF43=0,"нет",CE43/CF43/COUNTIF(Кадры!$B$20:$B$75,ИНСТИТУТ!D43)*100)</f>
        <v>нет</v>
      </c>
      <c r="CH43" s="695"/>
      <c r="CI43" s="695"/>
      <c r="CJ43" s="695"/>
      <c r="CK43" s="695"/>
      <c r="CL43" s="695"/>
      <c r="CM43" s="695"/>
      <c r="CO43" s="141"/>
      <c r="CP43" s="155"/>
      <c r="CS43" s="93"/>
      <c r="CT43" s="93"/>
      <c r="CU43" s="93"/>
      <c r="CV43" s="93"/>
      <c r="CW43" s="93"/>
      <c r="CX43" s="93"/>
      <c r="CY43" s="93"/>
      <c r="CZ43" s="93"/>
      <c r="DB43" s="94"/>
      <c r="DC43" s="94"/>
      <c r="DD43" s="94"/>
      <c r="DE43" s="94" t="e">
        <f t="shared" si="55"/>
        <v>#VALUE!</v>
      </c>
      <c r="DF43" s="94" t="e">
        <f t="shared" si="55"/>
        <v>#VALUE!</v>
      </c>
      <c r="DG43" s="94" t="e">
        <f t="shared" si="55"/>
        <v>#VALUE!</v>
      </c>
      <c r="DH43" s="94" t="e">
        <f t="shared" si="55"/>
        <v>#VALUE!</v>
      </c>
      <c r="DI43" s="94" t="e">
        <f t="shared" si="55"/>
        <v>#VALUE!</v>
      </c>
      <c r="DK43" s="95"/>
      <c r="DL43" s="95"/>
      <c r="DM43" s="90"/>
      <c r="DO43" s="95"/>
      <c r="DP43" s="95"/>
      <c r="DQ43" s="90"/>
      <c r="DT43" s="149"/>
      <c r="DU43" s="149"/>
      <c r="DV43" s="149"/>
      <c r="DW43" s="149"/>
      <c r="DX43" s="149"/>
      <c r="DY43" s="149"/>
      <c r="DZ43" s="149"/>
      <c r="EC43" s="168">
        <f t="shared" si="43"/>
        <v>0</v>
      </c>
    </row>
    <row r="44" spans="1:133" ht="18" hidden="1" customHeight="1" x14ac:dyDescent="0.25">
      <c r="A44" s="139"/>
      <c r="B44" s="97"/>
      <c r="C44" s="139"/>
      <c r="D44" s="139"/>
      <c r="E44" s="157"/>
      <c r="F44" s="100"/>
      <c r="G44" s="100"/>
      <c r="H44" s="101"/>
      <c r="I44" s="100"/>
      <c r="J44" s="100"/>
      <c r="K44" s="101"/>
      <c r="L44" s="100"/>
      <c r="M44" s="100"/>
      <c r="N44" s="101"/>
      <c r="O44" s="100"/>
      <c r="P44" s="100"/>
      <c r="Q44" s="101"/>
      <c r="R44" s="100"/>
      <c r="S44" s="905"/>
      <c r="T44" s="100"/>
      <c r="U44" s="905"/>
      <c r="V44" s="101"/>
      <c r="W44" s="100"/>
      <c r="X44" s="100"/>
      <c r="Y44" s="100"/>
      <c r="Z44" s="100"/>
      <c r="AA44" s="101"/>
      <c r="AB44" s="100"/>
      <c r="AC44" s="607"/>
      <c r="AD44" s="607"/>
      <c r="AE44" s="100"/>
      <c r="AF44" s="101" t="str">
        <f t="shared" si="48"/>
        <v>нет</v>
      </c>
      <c r="AG44" s="100"/>
      <c r="AH44" s="100"/>
      <c r="AI44" s="101"/>
      <c r="AJ44" s="100"/>
      <c r="AK44" s="100"/>
      <c r="AL44" s="101"/>
      <c r="AM44" s="101"/>
      <c r="AN44" s="101"/>
      <c r="AO44" s="101"/>
      <c r="AP44" s="946"/>
      <c r="AQ44" s="946"/>
      <c r="AR44" s="101"/>
      <c r="AS44" s="607"/>
      <c r="AT44" s="607"/>
      <c r="AU44" s="101"/>
      <c r="AV44" s="102"/>
      <c r="AW44" s="102"/>
      <c r="AX44" s="102"/>
      <c r="AY44" s="100"/>
      <c r="AZ44" s="100"/>
      <c r="BA44" s="101"/>
      <c r="BB44" s="100"/>
      <c r="BC44" s="66"/>
      <c r="BD44" s="102"/>
      <c r="BE44" s="100"/>
      <c r="BF44" s="66"/>
      <c r="BG44" s="102"/>
      <c r="BH44" s="381"/>
      <c r="BI44" s="381"/>
      <c r="BJ44" s="104"/>
      <c r="BK44" s="105"/>
      <c r="BL44" s="381"/>
      <c r="BM44" s="381"/>
      <c r="BN44" s="104"/>
      <c r="BO44" s="105"/>
      <c r="BP44" s="105"/>
      <c r="BQ44" s="105"/>
      <c r="BR44" s="105"/>
      <c r="BS44" s="105"/>
      <c r="BT44" s="105"/>
      <c r="BU44" s="105"/>
      <c r="BV44" s="105"/>
      <c r="BW44" s="105"/>
      <c r="BX44" s="105"/>
      <c r="BY44" s="105"/>
      <c r="BZ44" s="105"/>
      <c r="CA44" s="105"/>
      <c r="CB44" s="103"/>
      <c r="CC44" s="103"/>
      <c r="CD44" s="102"/>
      <c r="CE44" s="102"/>
      <c r="CF44" s="102"/>
      <c r="CG44" s="506" t="str">
        <f t="array" ref="CG44">IF(CF44=0,"нет",CE44/CF44/COUNTIF(Кадры!$B$20:$B$75,ИНСТИТУТ!D44)*100)</f>
        <v>нет</v>
      </c>
      <c r="CH44" s="695"/>
      <c r="CI44" s="695"/>
      <c r="CJ44" s="695"/>
      <c r="CK44" s="695"/>
      <c r="CL44" s="695"/>
      <c r="CM44" s="695"/>
      <c r="CO44" s="141"/>
      <c r="CP44" s="155"/>
      <c r="CS44" s="93"/>
      <c r="CT44" s="93"/>
      <c r="CU44" s="93"/>
      <c r="CV44" s="93"/>
      <c r="CW44" s="93"/>
      <c r="CX44" s="93"/>
      <c r="CY44" s="93"/>
      <c r="CZ44" s="93"/>
      <c r="DB44" s="94"/>
      <c r="DC44" s="94"/>
      <c r="DD44" s="94"/>
      <c r="DE44" s="94" t="e">
        <f t="shared" si="55"/>
        <v>#VALUE!</v>
      </c>
      <c r="DF44" s="94" t="e">
        <f t="shared" si="55"/>
        <v>#VALUE!</v>
      </c>
      <c r="DG44" s="94" t="e">
        <f t="shared" si="55"/>
        <v>#VALUE!</v>
      </c>
      <c r="DH44" s="94" t="e">
        <f t="shared" si="55"/>
        <v>#VALUE!</v>
      </c>
      <c r="DI44" s="94" t="e">
        <f t="shared" si="55"/>
        <v>#VALUE!</v>
      </c>
      <c r="DK44" s="95"/>
      <c r="DL44" s="95"/>
      <c r="DM44" s="90"/>
      <c r="DO44" s="95"/>
      <c r="DP44" s="95"/>
      <c r="DQ44" s="90"/>
      <c r="DT44" s="149"/>
      <c r="DU44" s="149"/>
      <c r="DV44" s="149"/>
      <c r="DW44" s="149"/>
      <c r="DX44" s="149"/>
      <c r="DY44" s="149"/>
      <c r="DZ44" s="149"/>
      <c r="EC44" s="168">
        <f t="shared" si="43"/>
        <v>0</v>
      </c>
    </row>
    <row r="45" spans="1:133" ht="18" hidden="1" customHeight="1" x14ac:dyDescent="0.25">
      <c r="A45" s="139"/>
      <c r="B45" s="97"/>
      <c r="C45" s="139"/>
      <c r="D45" s="139"/>
      <c r="E45" s="157"/>
      <c r="F45" s="100"/>
      <c r="G45" s="100"/>
      <c r="H45" s="101"/>
      <c r="I45" s="100"/>
      <c r="J45" s="100"/>
      <c r="K45" s="101"/>
      <c r="L45" s="100"/>
      <c r="M45" s="100"/>
      <c r="N45" s="101"/>
      <c r="O45" s="100"/>
      <c r="P45" s="100"/>
      <c r="Q45" s="101"/>
      <c r="R45" s="100"/>
      <c r="S45" s="905"/>
      <c r="T45" s="100"/>
      <c r="U45" s="905"/>
      <c r="V45" s="101"/>
      <c r="W45" s="100"/>
      <c r="X45" s="100"/>
      <c r="Y45" s="100"/>
      <c r="Z45" s="100"/>
      <c r="AA45" s="101"/>
      <c r="AB45" s="100"/>
      <c r="AC45" s="607"/>
      <c r="AD45" s="607"/>
      <c r="AE45" s="100"/>
      <c r="AF45" s="101" t="str">
        <f t="shared" si="48"/>
        <v>нет</v>
      </c>
      <c r="AG45" s="100"/>
      <c r="AH45" s="100"/>
      <c r="AI45" s="101"/>
      <c r="AJ45" s="100"/>
      <c r="AK45" s="100"/>
      <c r="AL45" s="101"/>
      <c r="AM45" s="101"/>
      <c r="AN45" s="101"/>
      <c r="AO45" s="101"/>
      <c r="AP45" s="946"/>
      <c r="AQ45" s="946"/>
      <c r="AR45" s="101"/>
      <c r="AS45" s="607"/>
      <c r="AT45" s="607"/>
      <c r="AU45" s="101"/>
      <c r="AV45" s="102"/>
      <c r="AW45" s="102"/>
      <c r="AX45" s="102"/>
      <c r="AY45" s="100"/>
      <c r="AZ45" s="100"/>
      <c r="BA45" s="101"/>
      <c r="BB45" s="100"/>
      <c r="BC45" s="66"/>
      <c r="BD45" s="102"/>
      <c r="BE45" s="100"/>
      <c r="BF45" s="66"/>
      <c r="BG45" s="102"/>
      <c r="BH45" s="381"/>
      <c r="BI45" s="381"/>
      <c r="BJ45" s="104"/>
      <c r="BK45" s="105"/>
      <c r="BL45" s="381"/>
      <c r="BM45" s="381"/>
      <c r="BN45" s="104"/>
      <c r="BO45" s="105"/>
      <c r="BP45" s="105"/>
      <c r="BQ45" s="105"/>
      <c r="BR45" s="105"/>
      <c r="BS45" s="105"/>
      <c r="BT45" s="105"/>
      <c r="BU45" s="105"/>
      <c r="BV45" s="105"/>
      <c r="BW45" s="105"/>
      <c r="BX45" s="105"/>
      <c r="BY45" s="105"/>
      <c r="BZ45" s="105"/>
      <c r="CA45" s="105"/>
      <c r="CB45" s="103"/>
      <c r="CC45" s="103"/>
      <c r="CD45" s="102"/>
      <c r="CE45" s="102"/>
      <c r="CF45" s="102"/>
      <c r="CG45" s="506" t="str">
        <f t="array" ref="CG45">IF(CF45=0,"нет",CE45/CF45/COUNTIF(Кадры!$B$20:$B$75,ИНСТИТУТ!D45)*100)</f>
        <v>нет</v>
      </c>
      <c r="CH45" s="695"/>
      <c r="CI45" s="695"/>
      <c r="CJ45" s="695"/>
      <c r="CK45" s="695"/>
      <c r="CL45" s="695"/>
      <c r="CM45" s="695"/>
      <c r="CO45" s="141"/>
      <c r="CP45" s="155"/>
      <c r="CS45" s="93"/>
      <c r="CT45" s="93"/>
      <c r="CU45" s="93"/>
      <c r="CV45" s="93"/>
      <c r="CW45" s="93"/>
      <c r="CX45" s="93"/>
      <c r="CY45" s="93"/>
      <c r="CZ45" s="93"/>
      <c r="DB45" s="94"/>
      <c r="DC45" s="94"/>
      <c r="DD45" s="94"/>
      <c r="DE45" s="94" t="e">
        <f t="shared" si="55"/>
        <v>#VALUE!</v>
      </c>
      <c r="DF45" s="94" t="e">
        <f t="shared" si="55"/>
        <v>#VALUE!</v>
      </c>
      <c r="DG45" s="94" t="e">
        <f t="shared" si="55"/>
        <v>#VALUE!</v>
      </c>
      <c r="DH45" s="94" t="e">
        <f t="shared" si="55"/>
        <v>#VALUE!</v>
      </c>
      <c r="DI45" s="94" t="e">
        <f t="shared" si="55"/>
        <v>#VALUE!</v>
      </c>
      <c r="DK45" s="95"/>
      <c r="DL45" s="95"/>
      <c r="DM45" s="90"/>
      <c r="DO45" s="95"/>
      <c r="DP45" s="95"/>
      <c r="DQ45" s="90"/>
      <c r="DT45" s="149"/>
      <c r="DU45" s="149"/>
      <c r="DV45" s="149"/>
      <c r="DW45" s="149"/>
      <c r="DX45" s="149"/>
      <c r="DY45" s="149"/>
      <c r="DZ45" s="149"/>
      <c r="EC45" s="168">
        <f t="shared" si="43"/>
        <v>0</v>
      </c>
    </row>
    <row r="46" spans="1:133" ht="18" hidden="1" customHeight="1" x14ac:dyDescent="0.25">
      <c r="A46" s="139"/>
      <c r="B46" s="97"/>
      <c r="C46" s="139"/>
      <c r="D46" s="139"/>
      <c r="E46" s="157"/>
      <c r="F46" s="100"/>
      <c r="G46" s="100"/>
      <c r="H46" s="101"/>
      <c r="I46" s="100"/>
      <c r="J46" s="100"/>
      <c r="K46" s="101"/>
      <c r="L46" s="100"/>
      <c r="M46" s="100"/>
      <c r="N46" s="101"/>
      <c r="O46" s="100"/>
      <c r="P46" s="100"/>
      <c r="Q46" s="101"/>
      <c r="R46" s="100"/>
      <c r="S46" s="905"/>
      <c r="T46" s="100"/>
      <c r="U46" s="905"/>
      <c r="V46" s="101"/>
      <c r="W46" s="100"/>
      <c r="X46" s="100"/>
      <c r="Y46" s="100"/>
      <c r="Z46" s="100"/>
      <c r="AA46" s="101"/>
      <c r="AB46" s="100"/>
      <c r="AC46" s="607"/>
      <c r="AD46" s="607"/>
      <c r="AE46" s="100"/>
      <c r="AF46" s="101" t="str">
        <f t="shared" si="48"/>
        <v>нет</v>
      </c>
      <c r="AG46" s="100"/>
      <c r="AH46" s="100"/>
      <c r="AI46" s="101"/>
      <c r="AJ46" s="100"/>
      <c r="AK46" s="100"/>
      <c r="AL46" s="101"/>
      <c r="AM46" s="101"/>
      <c r="AN46" s="101"/>
      <c r="AO46" s="101"/>
      <c r="AP46" s="946"/>
      <c r="AQ46" s="946"/>
      <c r="AR46" s="101"/>
      <c r="AS46" s="607"/>
      <c r="AT46" s="607"/>
      <c r="AU46" s="101"/>
      <c r="AV46" s="102"/>
      <c r="AW46" s="102"/>
      <c r="AX46" s="102"/>
      <c r="AY46" s="100"/>
      <c r="AZ46" s="100"/>
      <c r="BA46" s="101"/>
      <c r="BB46" s="100"/>
      <c r="BC46" s="66"/>
      <c r="BD46" s="102"/>
      <c r="BE46" s="100"/>
      <c r="BF46" s="66"/>
      <c r="BG46" s="102"/>
      <c r="BH46" s="381"/>
      <c r="BI46" s="381"/>
      <c r="BJ46" s="104"/>
      <c r="BK46" s="105"/>
      <c r="BL46" s="381"/>
      <c r="BM46" s="381"/>
      <c r="BN46" s="104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3"/>
      <c r="CC46" s="103"/>
      <c r="CD46" s="102"/>
      <c r="CE46" s="102"/>
      <c r="CF46" s="102"/>
      <c r="CG46" s="506" t="str">
        <f t="array" ref="CG46">IF(CF46=0,"нет",CE46/CF46/COUNTIF(Кадры!$B$20:$B$75,ИНСТИТУТ!D46)*100)</f>
        <v>нет</v>
      </c>
      <c r="CH46" s="695"/>
      <c r="CI46" s="695"/>
      <c r="CJ46" s="695"/>
      <c r="CK46" s="695"/>
      <c r="CL46" s="695"/>
      <c r="CM46" s="695"/>
      <c r="CO46" s="141"/>
      <c r="CP46" s="155"/>
      <c r="CS46" s="93"/>
      <c r="CT46" s="93"/>
      <c r="CU46" s="93"/>
      <c r="CV46" s="93"/>
      <c r="CW46" s="93"/>
      <c r="CX46" s="93"/>
      <c r="CY46" s="93"/>
      <c r="CZ46" s="93"/>
      <c r="DB46" s="94"/>
      <c r="DC46" s="94"/>
      <c r="DD46" s="94"/>
      <c r="DE46" s="94" t="e">
        <f t="shared" si="55"/>
        <v>#VALUE!</v>
      </c>
      <c r="DF46" s="94" t="e">
        <f t="shared" si="55"/>
        <v>#VALUE!</v>
      </c>
      <c r="DG46" s="94" t="e">
        <f t="shared" si="55"/>
        <v>#VALUE!</v>
      </c>
      <c r="DH46" s="94" t="e">
        <f t="shared" si="55"/>
        <v>#VALUE!</v>
      </c>
      <c r="DI46" s="94" t="e">
        <f t="shared" si="55"/>
        <v>#VALUE!</v>
      </c>
      <c r="DK46" s="95"/>
      <c r="DL46" s="95"/>
      <c r="DM46" s="90"/>
      <c r="DO46" s="95"/>
      <c r="DP46" s="95"/>
      <c r="DQ46" s="90"/>
      <c r="DT46" s="149"/>
      <c r="DU46" s="149"/>
      <c r="DV46" s="149"/>
      <c r="DW46" s="149"/>
      <c r="DX46" s="149"/>
      <c r="DY46" s="149"/>
      <c r="DZ46" s="149"/>
      <c r="EC46" s="168">
        <f t="shared" si="43"/>
        <v>0</v>
      </c>
    </row>
    <row r="47" spans="1:133" ht="18" hidden="1" customHeight="1" x14ac:dyDescent="0.25">
      <c r="A47" s="139"/>
      <c r="B47" s="97"/>
      <c r="C47" s="139"/>
      <c r="D47" s="139"/>
      <c r="E47" s="157"/>
      <c r="F47" s="100"/>
      <c r="G47" s="100"/>
      <c r="H47" s="101"/>
      <c r="I47" s="100"/>
      <c r="J47" s="100"/>
      <c r="K47" s="101"/>
      <c r="L47" s="100"/>
      <c r="M47" s="100"/>
      <c r="N47" s="101"/>
      <c r="O47" s="100"/>
      <c r="P47" s="100"/>
      <c r="Q47" s="101"/>
      <c r="R47" s="100"/>
      <c r="S47" s="905"/>
      <c r="T47" s="100"/>
      <c r="U47" s="905"/>
      <c r="V47" s="101"/>
      <c r="W47" s="100"/>
      <c r="X47" s="100"/>
      <c r="Y47" s="100"/>
      <c r="Z47" s="100"/>
      <c r="AA47" s="101"/>
      <c r="AB47" s="100"/>
      <c r="AC47" s="607"/>
      <c r="AD47" s="607"/>
      <c r="AE47" s="100"/>
      <c r="AF47" s="101" t="str">
        <f t="shared" si="48"/>
        <v>нет</v>
      </c>
      <c r="AG47" s="100"/>
      <c r="AH47" s="100"/>
      <c r="AI47" s="101"/>
      <c r="AJ47" s="100"/>
      <c r="AK47" s="100"/>
      <c r="AL47" s="101"/>
      <c r="AM47" s="101"/>
      <c r="AN47" s="101"/>
      <c r="AO47" s="101"/>
      <c r="AP47" s="946"/>
      <c r="AQ47" s="946"/>
      <c r="AR47" s="101"/>
      <c r="AS47" s="607"/>
      <c r="AT47" s="607"/>
      <c r="AU47" s="101"/>
      <c r="AV47" s="102"/>
      <c r="AW47" s="102"/>
      <c r="AX47" s="102"/>
      <c r="AY47" s="100"/>
      <c r="AZ47" s="100"/>
      <c r="BA47" s="101"/>
      <c r="BB47" s="100"/>
      <c r="BC47" s="66"/>
      <c r="BD47" s="102"/>
      <c r="BE47" s="100"/>
      <c r="BF47" s="66"/>
      <c r="BG47" s="102"/>
      <c r="BH47" s="381"/>
      <c r="BI47" s="381"/>
      <c r="BJ47" s="104"/>
      <c r="BK47" s="105"/>
      <c r="BL47" s="381"/>
      <c r="BM47" s="381"/>
      <c r="BN47" s="104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3"/>
      <c r="CC47" s="103"/>
      <c r="CD47" s="102"/>
      <c r="CE47" s="102"/>
      <c r="CF47" s="102"/>
      <c r="CG47" s="506" t="str">
        <f t="array" ref="CG47">IF(CF47=0,"нет",CE47/CF47/COUNTIF(Кадры!$B$20:$B$75,ИНСТИТУТ!D47)*100)</f>
        <v>нет</v>
      </c>
      <c r="CH47" s="695"/>
      <c r="CI47" s="695"/>
      <c r="CJ47" s="695"/>
      <c r="CK47" s="695"/>
      <c r="CL47" s="695"/>
      <c r="CM47" s="695"/>
      <c r="CO47" s="141"/>
      <c r="CP47" s="155"/>
      <c r="CS47" s="93"/>
      <c r="CT47" s="93"/>
      <c r="CU47" s="93"/>
      <c r="CV47" s="93"/>
      <c r="CW47" s="93"/>
      <c r="CX47" s="93"/>
      <c r="CY47" s="93"/>
      <c r="CZ47" s="93"/>
      <c r="DB47" s="94"/>
      <c r="DC47" s="94"/>
      <c r="DD47" s="94"/>
      <c r="DE47" s="94" t="e">
        <f t="shared" si="55"/>
        <v>#VALUE!</v>
      </c>
      <c r="DF47" s="94" t="e">
        <f t="shared" si="55"/>
        <v>#VALUE!</v>
      </c>
      <c r="DG47" s="94" t="e">
        <f t="shared" si="55"/>
        <v>#VALUE!</v>
      </c>
      <c r="DH47" s="94" t="e">
        <f t="shared" si="55"/>
        <v>#VALUE!</v>
      </c>
      <c r="DI47" s="94" t="e">
        <f t="shared" si="55"/>
        <v>#VALUE!</v>
      </c>
      <c r="DK47" s="95"/>
      <c r="DL47" s="95"/>
      <c r="DM47" s="90"/>
      <c r="DO47" s="95"/>
      <c r="DP47" s="95"/>
      <c r="DQ47" s="90"/>
      <c r="DT47" s="149"/>
      <c r="DU47" s="149"/>
      <c r="DV47" s="149"/>
      <c r="DW47" s="149"/>
      <c r="DX47" s="149"/>
      <c r="DY47" s="149"/>
      <c r="DZ47" s="149"/>
      <c r="EC47" s="168">
        <f t="shared" si="43"/>
        <v>0</v>
      </c>
    </row>
    <row r="48" spans="1:133" ht="18" hidden="1" customHeight="1" x14ac:dyDescent="0.25">
      <c r="A48" s="139"/>
      <c r="B48" s="97"/>
      <c r="C48" s="139"/>
      <c r="D48" s="139"/>
      <c r="E48" s="157"/>
      <c r="F48" s="100"/>
      <c r="G48" s="100"/>
      <c r="H48" s="101"/>
      <c r="I48" s="100"/>
      <c r="J48" s="100"/>
      <c r="K48" s="101"/>
      <c r="L48" s="100"/>
      <c r="M48" s="100"/>
      <c r="N48" s="101"/>
      <c r="O48" s="100"/>
      <c r="P48" s="100"/>
      <c r="Q48" s="101"/>
      <c r="R48" s="100"/>
      <c r="S48" s="905"/>
      <c r="T48" s="100"/>
      <c r="U48" s="905"/>
      <c r="V48" s="101"/>
      <c r="W48" s="100"/>
      <c r="X48" s="100"/>
      <c r="Y48" s="100"/>
      <c r="Z48" s="100"/>
      <c r="AA48" s="101"/>
      <c r="AB48" s="100"/>
      <c r="AC48" s="607"/>
      <c r="AD48" s="607"/>
      <c r="AE48" s="100"/>
      <c r="AF48" s="101" t="str">
        <f t="shared" si="48"/>
        <v>нет</v>
      </c>
      <c r="AG48" s="100"/>
      <c r="AH48" s="100"/>
      <c r="AI48" s="101"/>
      <c r="AJ48" s="100"/>
      <c r="AK48" s="100"/>
      <c r="AL48" s="101"/>
      <c r="AM48" s="101"/>
      <c r="AN48" s="101"/>
      <c r="AO48" s="101"/>
      <c r="AP48" s="946"/>
      <c r="AQ48" s="946"/>
      <c r="AR48" s="101"/>
      <c r="AS48" s="607"/>
      <c r="AT48" s="607"/>
      <c r="AU48" s="101"/>
      <c r="AV48" s="102"/>
      <c r="AW48" s="102"/>
      <c r="AX48" s="102"/>
      <c r="AY48" s="100"/>
      <c r="AZ48" s="100"/>
      <c r="BA48" s="101"/>
      <c r="BB48" s="100"/>
      <c r="BC48" s="66"/>
      <c r="BD48" s="102"/>
      <c r="BE48" s="100"/>
      <c r="BF48" s="66"/>
      <c r="BG48" s="102"/>
      <c r="BH48" s="381"/>
      <c r="BI48" s="381"/>
      <c r="BJ48" s="104"/>
      <c r="BK48" s="105"/>
      <c r="BL48" s="381"/>
      <c r="BM48" s="381"/>
      <c r="BN48" s="104"/>
      <c r="BO48" s="105"/>
      <c r="BP48" s="105"/>
      <c r="BQ48" s="105"/>
      <c r="BR48" s="105"/>
      <c r="BS48" s="105"/>
      <c r="BT48" s="105"/>
      <c r="BU48" s="105"/>
      <c r="BV48" s="105"/>
      <c r="BW48" s="105"/>
      <c r="BX48" s="105"/>
      <c r="BY48" s="105"/>
      <c r="BZ48" s="105"/>
      <c r="CA48" s="105"/>
      <c r="CB48" s="103"/>
      <c r="CC48" s="103"/>
      <c r="CD48" s="102"/>
      <c r="CE48" s="102"/>
      <c r="CF48" s="102"/>
      <c r="CG48" s="506" t="str">
        <f t="array" ref="CG48">IF(CF48=0,"нет",CE48/CF48/COUNTIF(Кадры!$B$20:$B$75,ИНСТИТУТ!D48)*100)</f>
        <v>нет</v>
      </c>
      <c r="CH48" s="695"/>
      <c r="CI48" s="695"/>
      <c r="CJ48" s="695"/>
      <c r="CK48" s="695"/>
      <c r="CL48" s="695"/>
      <c r="CM48" s="695"/>
      <c r="CO48" s="141"/>
      <c r="CP48" s="155"/>
      <c r="CS48" s="93"/>
      <c r="CT48" s="93"/>
      <c r="CU48" s="93"/>
      <c r="CV48" s="93"/>
      <c r="CW48" s="93"/>
      <c r="CX48" s="93"/>
      <c r="CY48" s="93"/>
      <c r="CZ48" s="93"/>
      <c r="DB48" s="94"/>
      <c r="DC48" s="94"/>
      <c r="DD48" s="94"/>
      <c r="DE48" s="94" t="e">
        <f t="shared" ref="DE48:DI57" si="56">SUM(IF($F48:$CM48=нет,0,100)*$F$11:$CM$11*($F$108:$CM$108=DE$4)/100*($F$110:$CM$143*($B$110:$B$143=$B48)*($A$110:$A$143=$A$108)))</f>
        <v>#VALUE!</v>
      </c>
      <c r="DF48" s="94" t="e">
        <f t="shared" si="56"/>
        <v>#VALUE!</v>
      </c>
      <c r="DG48" s="94" t="e">
        <f t="shared" si="56"/>
        <v>#VALUE!</v>
      </c>
      <c r="DH48" s="94" t="e">
        <f t="shared" si="56"/>
        <v>#VALUE!</v>
      </c>
      <c r="DI48" s="94" t="e">
        <f t="shared" si="56"/>
        <v>#VALUE!</v>
      </c>
      <c r="DK48" s="95"/>
      <c r="DL48" s="95"/>
      <c r="DM48" s="90"/>
      <c r="DO48" s="95"/>
      <c r="DP48" s="95"/>
      <c r="DQ48" s="90"/>
      <c r="DT48" s="149"/>
      <c r="DU48" s="149"/>
      <c r="DV48" s="149"/>
      <c r="DW48" s="149"/>
      <c r="DX48" s="149"/>
      <c r="DY48" s="149"/>
      <c r="DZ48" s="149"/>
      <c r="EC48" s="168">
        <f t="shared" si="43"/>
        <v>0</v>
      </c>
    </row>
    <row r="49" spans="1:133" ht="18" hidden="1" customHeight="1" x14ac:dyDescent="0.25">
      <c r="A49" s="139"/>
      <c r="B49" s="97"/>
      <c r="C49" s="139"/>
      <c r="D49" s="139"/>
      <c r="E49" s="157"/>
      <c r="F49" s="100"/>
      <c r="G49" s="100"/>
      <c r="H49" s="101"/>
      <c r="I49" s="100"/>
      <c r="J49" s="100"/>
      <c r="K49" s="101"/>
      <c r="L49" s="100"/>
      <c r="M49" s="100"/>
      <c r="N49" s="101"/>
      <c r="O49" s="100"/>
      <c r="P49" s="100"/>
      <c r="Q49" s="101"/>
      <c r="R49" s="100"/>
      <c r="S49" s="905"/>
      <c r="T49" s="100"/>
      <c r="U49" s="905"/>
      <c r="V49" s="101"/>
      <c r="W49" s="100"/>
      <c r="X49" s="100"/>
      <c r="Y49" s="100"/>
      <c r="Z49" s="100"/>
      <c r="AA49" s="101"/>
      <c r="AB49" s="100"/>
      <c r="AC49" s="607"/>
      <c r="AD49" s="607"/>
      <c r="AE49" s="100"/>
      <c r="AF49" s="101" t="str">
        <f t="shared" si="48"/>
        <v>нет</v>
      </c>
      <c r="AG49" s="100"/>
      <c r="AH49" s="100"/>
      <c r="AI49" s="101"/>
      <c r="AJ49" s="100"/>
      <c r="AK49" s="100"/>
      <c r="AL49" s="101"/>
      <c r="AM49" s="101"/>
      <c r="AN49" s="101"/>
      <c r="AO49" s="101"/>
      <c r="AP49" s="946"/>
      <c r="AQ49" s="946"/>
      <c r="AR49" s="101"/>
      <c r="AS49" s="607"/>
      <c r="AT49" s="607"/>
      <c r="AU49" s="101"/>
      <c r="AV49" s="102"/>
      <c r="AW49" s="102"/>
      <c r="AX49" s="102"/>
      <c r="AY49" s="100"/>
      <c r="AZ49" s="100"/>
      <c r="BA49" s="101"/>
      <c r="BB49" s="100"/>
      <c r="BC49" s="66"/>
      <c r="BD49" s="102"/>
      <c r="BE49" s="100"/>
      <c r="BF49" s="66"/>
      <c r="BG49" s="102"/>
      <c r="BH49" s="381"/>
      <c r="BI49" s="381"/>
      <c r="BJ49" s="104"/>
      <c r="BK49" s="105"/>
      <c r="BL49" s="381"/>
      <c r="BM49" s="381"/>
      <c r="BN49" s="104"/>
      <c r="BO49" s="105"/>
      <c r="BP49" s="105"/>
      <c r="BQ49" s="105"/>
      <c r="BR49" s="105"/>
      <c r="BS49" s="105"/>
      <c r="BT49" s="105"/>
      <c r="BU49" s="105"/>
      <c r="BV49" s="105"/>
      <c r="BW49" s="105"/>
      <c r="BX49" s="105"/>
      <c r="BY49" s="105"/>
      <c r="BZ49" s="105"/>
      <c r="CA49" s="105"/>
      <c r="CB49" s="103"/>
      <c r="CC49" s="103"/>
      <c r="CD49" s="102"/>
      <c r="CE49" s="102"/>
      <c r="CF49" s="102"/>
      <c r="CG49" s="506" t="str">
        <f t="array" ref="CG49">IF(CF49=0,"нет",CE49/CF49/COUNTIF(Кадры!$B$20:$B$75,ИНСТИТУТ!D49)*100)</f>
        <v>нет</v>
      </c>
      <c r="CH49" s="695"/>
      <c r="CI49" s="695"/>
      <c r="CJ49" s="695"/>
      <c r="CK49" s="695"/>
      <c r="CL49" s="695"/>
      <c r="CM49" s="695"/>
      <c r="CO49" s="141"/>
      <c r="CP49" s="155"/>
      <c r="CS49" s="93"/>
      <c r="CT49" s="93"/>
      <c r="CU49" s="93"/>
      <c r="CV49" s="93"/>
      <c r="CW49" s="93"/>
      <c r="CX49" s="93"/>
      <c r="CY49" s="93"/>
      <c r="CZ49" s="93"/>
      <c r="DB49" s="94"/>
      <c r="DC49" s="94"/>
      <c r="DD49" s="94"/>
      <c r="DE49" s="94" t="e">
        <f t="shared" si="56"/>
        <v>#VALUE!</v>
      </c>
      <c r="DF49" s="94" t="e">
        <f t="shared" si="56"/>
        <v>#VALUE!</v>
      </c>
      <c r="DG49" s="94" t="e">
        <f t="shared" si="56"/>
        <v>#VALUE!</v>
      </c>
      <c r="DH49" s="94" t="e">
        <f t="shared" si="56"/>
        <v>#VALUE!</v>
      </c>
      <c r="DI49" s="94" t="e">
        <f t="shared" si="56"/>
        <v>#VALUE!</v>
      </c>
      <c r="DK49" s="95"/>
      <c r="DL49" s="95"/>
      <c r="DM49" s="90"/>
      <c r="DO49" s="95"/>
      <c r="DP49" s="95"/>
      <c r="DQ49" s="90"/>
      <c r="DT49" s="149"/>
      <c r="DU49" s="149"/>
      <c r="DV49" s="149"/>
      <c r="DW49" s="149"/>
      <c r="DX49" s="149"/>
      <c r="DY49" s="149"/>
      <c r="DZ49" s="149"/>
      <c r="EC49" s="168">
        <f t="shared" si="43"/>
        <v>0</v>
      </c>
    </row>
    <row r="50" spans="1:133" ht="18" hidden="1" customHeight="1" x14ac:dyDescent="0.25">
      <c r="A50" s="139"/>
      <c r="B50" s="97"/>
      <c r="C50" s="139"/>
      <c r="D50" s="139"/>
      <c r="E50" s="157"/>
      <c r="F50" s="100"/>
      <c r="G50" s="100"/>
      <c r="H50" s="101"/>
      <c r="I50" s="100"/>
      <c r="J50" s="100"/>
      <c r="K50" s="101"/>
      <c r="L50" s="100"/>
      <c r="M50" s="100"/>
      <c r="N50" s="101"/>
      <c r="O50" s="100"/>
      <c r="P50" s="100"/>
      <c r="Q50" s="101"/>
      <c r="R50" s="100"/>
      <c r="S50" s="905"/>
      <c r="T50" s="100"/>
      <c r="U50" s="905"/>
      <c r="V50" s="101"/>
      <c r="W50" s="100"/>
      <c r="X50" s="100"/>
      <c r="Y50" s="100"/>
      <c r="Z50" s="100"/>
      <c r="AA50" s="101"/>
      <c r="AB50" s="100"/>
      <c r="AC50" s="607"/>
      <c r="AD50" s="607"/>
      <c r="AE50" s="100"/>
      <c r="AF50" s="101" t="str">
        <f t="shared" si="48"/>
        <v>нет</v>
      </c>
      <c r="AG50" s="100"/>
      <c r="AH50" s="100"/>
      <c r="AI50" s="101"/>
      <c r="AJ50" s="100"/>
      <c r="AK50" s="100"/>
      <c r="AL50" s="101"/>
      <c r="AM50" s="101"/>
      <c r="AN50" s="101"/>
      <c r="AO50" s="101"/>
      <c r="AP50" s="946"/>
      <c r="AQ50" s="946"/>
      <c r="AR50" s="101"/>
      <c r="AS50" s="607"/>
      <c r="AT50" s="607"/>
      <c r="AU50" s="101"/>
      <c r="AV50" s="102"/>
      <c r="AW50" s="102"/>
      <c r="AX50" s="102"/>
      <c r="AY50" s="100"/>
      <c r="AZ50" s="100"/>
      <c r="BA50" s="101"/>
      <c r="BB50" s="100"/>
      <c r="BC50" s="66"/>
      <c r="BD50" s="102"/>
      <c r="BE50" s="100"/>
      <c r="BF50" s="66"/>
      <c r="BG50" s="102"/>
      <c r="BH50" s="381"/>
      <c r="BI50" s="381"/>
      <c r="BJ50" s="104"/>
      <c r="BK50" s="105"/>
      <c r="BL50" s="381"/>
      <c r="BM50" s="381"/>
      <c r="BN50" s="104"/>
      <c r="BO50" s="105"/>
      <c r="BP50" s="105"/>
      <c r="BQ50" s="105"/>
      <c r="BR50" s="105"/>
      <c r="BS50" s="105"/>
      <c r="BT50" s="105"/>
      <c r="BU50" s="105"/>
      <c r="BV50" s="105"/>
      <c r="BW50" s="105"/>
      <c r="BX50" s="105"/>
      <c r="BY50" s="105"/>
      <c r="BZ50" s="105"/>
      <c r="CA50" s="105"/>
      <c r="CB50" s="103"/>
      <c r="CC50" s="103"/>
      <c r="CD50" s="102"/>
      <c r="CE50" s="102"/>
      <c r="CF50" s="102"/>
      <c r="CG50" s="506" t="str">
        <f t="array" ref="CG50">IF(CF50=0,"нет",CE50/CF50/COUNTIF(Кадры!$B$20:$B$75,ИНСТИТУТ!D50)*100)</f>
        <v>нет</v>
      </c>
      <c r="CH50" s="695"/>
      <c r="CI50" s="695"/>
      <c r="CJ50" s="695"/>
      <c r="CK50" s="695"/>
      <c r="CL50" s="695"/>
      <c r="CM50" s="695"/>
      <c r="CO50" s="141"/>
      <c r="CP50" s="155"/>
      <c r="CS50" s="93"/>
      <c r="CT50" s="93"/>
      <c r="CU50" s="93"/>
      <c r="CV50" s="93"/>
      <c r="CW50" s="93"/>
      <c r="CX50" s="93"/>
      <c r="CY50" s="93"/>
      <c r="CZ50" s="93"/>
      <c r="DB50" s="94"/>
      <c r="DC50" s="94"/>
      <c r="DD50" s="94"/>
      <c r="DE50" s="94" t="e">
        <f t="shared" si="56"/>
        <v>#VALUE!</v>
      </c>
      <c r="DF50" s="94" t="e">
        <f t="shared" si="56"/>
        <v>#VALUE!</v>
      </c>
      <c r="DG50" s="94" t="e">
        <f t="shared" si="56"/>
        <v>#VALUE!</v>
      </c>
      <c r="DH50" s="94" t="e">
        <f t="shared" si="56"/>
        <v>#VALUE!</v>
      </c>
      <c r="DI50" s="94" t="e">
        <f t="shared" si="56"/>
        <v>#VALUE!</v>
      </c>
      <c r="DK50" s="95"/>
      <c r="DL50" s="95"/>
      <c r="DM50" s="90"/>
      <c r="DO50" s="95"/>
      <c r="DP50" s="95"/>
      <c r="DQ50" s="90"/>
      <c r="DT50" s="149"/>
      <c r="DU50" s="149"/>
      <c r="DV50" s="149"/>
      <c r="DW50" s="149"/>
      <c r="DX50" s="149"/>
      <c r="DY50" s="149"/>
      <c r="DZ50" s="149"/>
      <c r="EC50" s="168">
        <f t="shared" si="43"/>
        <v>0</v>
      </c>
    </row>
    <row r="51" spans="1:133" ht="18" hidden="1" customHeight="1" x14ac:dyDescent="0.25">
      <c r="A51" s="139"/>
      <c r="B51" s="97"/>
      <c r="C51" s="139"/>
      <c r="D51" s="139"/>
      <c r="E51" s="157"/>
      <c r="F51" s="100"/>
      <c r="G51" s="100"/>
      <c r="H51" s="101"/>
      <c r="I51" s="100"/>
      <c r="J51" s="100"/>
      <c r="K51" s="101"/>
      <c r="L51" s="100"/>
      <c r="M51" s="100"/>
      <c r="N51" s="101"/>
      <c r="O51" s="100"/>
      <c r="P51" s="100"/>
      <c r="Q51" s="101"/>
      <c r="R51" s="100"/>
      <c r="S51" s="905"/>
      <c r="T51" s="100"/>
      <c r="U51" s="905"/>
      <c r="V51" s="101"/>
      <c r="W51" s="100"/>
      <c r="X51" s="100"/>
      <c r="Y51" s="100"/>
      <c r="Z51" s="100"/>
      <c r="AA51" s="101"/>
      <c r="AB51" s="100"/>
      <c r="AC51" s="607"/>
      <c r="AD51" s="607"/>
      <c r="AE51" s="100"/>
      <c r="AF51" s="101" t="str">
        <f t="shared" si="48"/>
        <v>нет</v>
      </c>
      <c r="AG51" s="100"/>
      <c r="AH51" s="100"/>
      <c r="AI51" s="101"/>
      <c r="AJ51" s="100"/>
      <c r="AK51" s="100"/>
      <c r="AL51" s="101"/>
      <c r="AM51" s="101"/>
      <c r="AN51" s="101"/>
      <c r="AO51" s="101"/>
      <c r="AP51" s="946"/>
      <c r="AQ51" s="946"/>
      <c r="AR51" s="101"/>
      <c r="AS51" s="607"/>
      <c r="AT51" s="607"/>
      <c r="AU51" s="101"/>
      <c r="AV51" s="102"/>
      <c r="AW51" s="102"/>
      <c r="AX51" s="102"/>
      <c r="AY51" s="100"/>
      <c r="AZ51" s="100"/>
      <c r="BA51" s="101"/>
      <c r="BB51" s="100"/>
      <c r="BC51" s="66"/>
      <c r="BD51" s="102"/>
      <c r="BE51" s="100"/>
      <c r="BF51" s="66"/>
      <c r="BG51" s="102"/>
      <c r="BH51" s="381"/>
      <c r="BI51" s="381"/>
      <c r="BJ51" s="104"/>
      <c r="BK51" s="105"/>
      <c r="BL51" s="381"/>
      <c r="BM51" s="381"/>
      <c r="BN51" s="104"/>
      <c r="BO51" s="105"/>
      <c r="BP51" s="105"/>
      <c r="BQ51" s="105"/>
      <c r="BR51" s="105"/>
      <c r="BS51" s="105"/>
      <c r="BT51" s="105"/>
      <c r="BU51" s="105"/>
      <c r="BV51" s="105"/>
      <c r="BW51" s="105"/>
      <c r="BX51" s="105"/>
      <c r="BY51" s="105"/>
      <c r="BZ51" s="105"/>
      <c r="CA51" s="105"/>
      <c r="CB51" s="103"/>
      <c r="CC51" s="103"/>
      <c r="CD51" s="102"/>
      <c r="CE51" s="102"/>
      <c r="CF51" s="102"/>
      <c r="CG51" s="506" t="str">
        <f t="array" ref="CG51">IF(CF51=0,"нет",CE51/CF51/COUNTIF(Кадры!$B$20:$B$75,ИНСТИТУТ!D51)*100)</f>
        <v>нет</v>
      </c>
      <c r="CH51" s="695"/>
      <c r="CI51" s="695"/>
      <c r="CJ51" s="695"/>
      <c r="CK51" s="695"/>
      <c r="CL51" s="695"/>
      <c r="CM51" s="695"/>
      <c r="CO51" s="141"/>
      <c r="CP51" s="155"/>
      <c r="CS51" s="93"/>
      <c r="CT51" s="93"/>
      <c r="CU51" s="93"/>
      <c r="CV51" s="93"/>
      <c r="CW51" s="93"/>
      <c r="CX51" s="93"/>
      <c r="CY51" s="93"/>
      <c r="CZ51" s="93"/>
      <c r="DB51" s="94"/>
      <c r="DC51" s="94"/>
      <c r="DD51" s="94"/>
      <c r="DE51" s="94" t="e">
        <f t="shared" si="56"/>
        <v>#VALUE!</v>
      </c>
      <c r="DF51" s="94" t="e">
        <f t="shared" si="56"/>
        <v>#VALUE!</v>
      </c>
      <c r="DG51" s="94" t="e">
        <f t="shared" si="56"/>
        <v>#VALUE!</v>
      </c>
      <c r="DH51" s="94" t="e">
        <f t="shared" si="56"/>
        <v>#VALUE!</v>
      </c>
      <c r="DI51" s="94" t="e">
        <f t="shared" si="56"/>
        <v>#VALUE!</v>
      </c>
      <c r="DK51" s="95"/>
      <c r="DL51" s="95"/>
      <c r="DM51" s="90"/>
      <c r="DO51" s="95"/>
      <c r="DP51" s="95"/>
      <c r="DQ51" s="90"/>
      <c r="DT51" s="149"/>
      <c r="DU51" s="149"/>
      <c r="DV51" s="149"/>
      <c r="DW51" s="149"/>
      <c r="DX51" s="149"/>
      <c r="DY51" s="149"/>
      <c r="DZ51" s="149"/>
      <c r="EC51" s="168">
        <f t="shared" si="43"/>
        <v>0</v>
      </c>
    </row>
    <row r="52" spans="1:133" ht="18" hidden="1" customHeight="1" x14ac:dyDescent="0.25">
      <c r="A52" s="139"/>
      <c r="B52" s="97"/>
      <c r="C52" s="139"/>
      <c r="D52" s="139"/>
      <c r="E52" s="157"/>
      <c r="F52" s="100"/>
      <c r="G52" s="100"/>
      <c r="H52" s="101"/>
      <c r="I52" s="100"/>
      <c r="J52" s="100"/>
      <c r="K52" s="101"/>
      <c r="L52" s="100"/>
      <c r="M52" s="100"/>
      <c r="N52" s="101"/>
      <c r="O52" s="100"/>
      <c r="P52" s="100"/>
      <c r="Q52" s="101"/>
      <c r="R52" s="100"/>
      <c r="S52" s="905"/>
      <c r="T52" s="100"/>
      <c r="U52" s="905"/>
      <c r="V52" s="101"/>
      <c r="W52" s="100"/>
      <c r="X52" s="100"/>
      <c r="Y52" s="100"/>
      <c r="Z52" s="100"/>
      <c r="AA52" s="101"/>
      <c r="AB52" s="100"/>
      <c r="AC52" s="607"/>
      <c r="AD52" s="607"/>
      <c r="AE52" s="100"/>
      <c r="AF52" s="101" t="str">
        <f t="shared" si="48"/>
        <v>нет</v>
      </c>
      <c r="AG52" s="100"/>
      <c r="AH52" s="100"/>
      <c r="AI52" s="101"/>
      <c r="AJ52" s="100"/>
      <c r="AK52" s="100"/>
      <c r="AL52" s="101"/>
      <c r="AM52" s="101"/>
      <c r="AN52" s="101"/>
      <c r="AO52" s="101"/>
      <c r="AP52" s="946"/>
      <c r="AQ52" s="946"/>
      <c r="AR52" s="101"/>
      <c r="AS52" s="607"/>
      <c r="AT52" s="607"/>
      <c r="AU52" s="101"/>
      <c r="AV52" s="102"/>
      <c r="AW52" s="102"/>
      <c r="AX52" s="102"/>
      <c r="AY52" s="100"/>
      <c r="AZ52" s="100"/>
      <c r="BA52" s="101"/>
      <c r="BB52" s="100"/>
      <c r="BC52" s="66"/>
      <c r="BD52" s="102"/>
      <c r="BE52" s="100"/>
      <c r="BF52" s="66"/>
      <c r="BG52" s="102"/>
      <c r="BH52" s="381"/>
      <c r="BI52" s="381"/>
      <c r="BJ52" s="104"/>
      <c r="BK52" s="105"/>
      <c r="BL52" s="381"/>
      <c r="BM52" s="381"/>
      <c r="BN52" s="104"/>
      <c r="BO52" s="105"/>
      <c r="BP52" s="105"/>
      <c r="BQ52" s="105"/>
      <c r="BR52" s="105"/>
      <c r="BS52" s="105"/>
      <c r="BT52" s="105"/>
      <c r="BU52" s="105"/>
      <c r="BV52" s="105"/>
      <c r="BW52" s="105"/>
      <c r="BX52" s="105"/>
      <c r="BY52" s="105"/>
      <c r="BZ52" s="105"/>
      <c r="CA52" s="105"/>
      <c r="CB52" s="103"/>
      <c r="CC52" s="103"/>
      <c r="CD52" s="102"/>
      <c r="CE52" s="102"/>
      <c r="CF52" s="102"/>
      <c r="CG52" s="506" t="str">
        <f t="array" ref="CG52">IF(CF52=0,"нет",CE52/CF52/COUNTIF(Кадры!$B$20:$B$75,ИНСТИТУТ!D52)*100)</f>
        <v>нет</v>
      </c>
      <c r="CH52" s="695"/>
      <c r="CI52" s="695"/>
      <c r="CJ52" s="695"/>
      <c r="CK52" s="695"/>
      <c r="CL52" s="695"/>
      <c r="CM52" s="695"/>
      <c r="CO52" s="141"/>
      <c r="CP52" s="155"/>
      <c r="CS52" s="93"/>
      <c r="CT52" s="93"/>
      <c r="CU52" s="93"/>
      <c r="CV52" s="93"/>
      <c r="CW52" s="93"/>
      <c r="CX52" s="93"/>
      <c r="CY52" s="93"/>
      <c r="CZ52" s="93"/>
      <c r="DB52" s="94"/>
      <c r="DC52" s="94"/>
      <c r="DD52" s="94"/>
      <c r="DE52" s="94" t="e">
        <f t="shared" si="56"/>
        <v>#VALUE!</v>
      </c>
      <c r="DF52" s="94" t="e">
        <f t="shared" si="56"/>
        <v>#VALUE!</v>
      </c>
      <c r="DG52" s="94" t="e">
        <f t="shared" si="56"/>
        <v>#VALUE!</v>
      </c>
      <c r="DH52" s="94" t="e">
        <f t="shared" si="56"/>
        <v>#VALUE!</v>
      </c>
      <c r="DI52" s="94" t="e">
        <f t="shared" si="56"/>
        <v>#VALUE!</v>
      </c>
      <c r="DK52" s="95"/>
      <c r="DL52" s="95"/>
      <c r="DM52" s="90"/>
      <c r="DO52" s="95"/>
      <c r="DP52" s="95"/>
      <c r="DQ52" s="90"/>
      <c r="DT52" s="149"/>
      <c r="DU52" s="149"/>
      <c r="DV52" s="149"/>
      <c r="DW52" s="149"/>
      <c r="DX52" s="149"/>
      <c r="DY52" s="149"/>
      <c r="DZ52" s="149"/>
      <c r="EC52" s="168">
        <f t="shared" si="43"/>
        <v>0</v>
      </c>
    </row>
    <row r="53" spans="1:133" ht="18" hidden="1" customHeight="1" x14ac:dyDescent="0.25">
      <c r="A53" s="139"/>
      <c r="B53" s="97"/>
      <c r="C53" s="139"/>
      <c r="D53" s="139"/>
      <c r="E53" s="157"/>
      <c r="F53" s="100"/>
      <c r="G53" s="100"/>
      <c r="H53" s="101"/>
      <c r="I53" s="100"/>
      <c r="J53" s="100"/>
      <c r="K53" s="101"/>
      <c r="L53" s="100"/>
      <c r="M53" s="100"/>
      <c r="N53" s="101"/>
      <c r="O53" s="100"/>
      <c r="P53" s="100"/>
      <c r="Q53" s="101"/>
      <c r="R53" s="100"/>
      <c r="S53" s="905"/>
      <c r="T53" s="100"/>
      <c r="U53" s="905"/>
      <c r="V53" s="101"/>
      <c r="W53" s="100"/>
      <c r="X53" s="100"/>
      <c r="Y53" s="100"/>
      <c r="Z53" s="100"/>
      <c r="AA53" s="101"/>
      <c r="AB53" s="100"/>
      <c r="AC53" s="607"/>
      <c r="AD53" s="607"/>
      <c r="AE53" s="100"/>
      <c r="AF53" s="101" t="str">
        <f t="shared" si="48"/>
        <v>нет</v>
      </c>
      <c r="AG53" s="100"/>
      <c r="AH53" s="100"/>
      <c r="AI53" s="101"/>
      <c r="AJ53" s="100"/>
      <c r="AK53" s="100"/>
      <c r="AL53" s="101"/>
      <c r="AM53" s="101"/>
      <c r="AN53" s="101"/>
      <c r="AO53" s="101"/>
      <c r="AP53" s="946"/>
      <c r="AQ53" s="946"/>
      <c r="AR53" s="101"/>
      <c r="AS53" s="607"/>
      <c r="AT53" s="607"/>
      <c r="AU53" s="101"/>
      <c r="AV53" s="102"/>
      <c r="AW53" s="102"/>
      <c r="AX53" s="102"/>
      <c r="AY53" s="100"/>
      <c r="AZ53" s="100"/>
      <c r="BA53" s="101"/>
      <c r="BB53" s="100"/>
      <c r="BC53" s="66"/>
      <c r="BD53" s="102"/>
      <c r="BE53" s="100"/>
      <c r="BF53" s="66"/>
      <c r="BG53" s="102"/>
      <c r="BH53" s="381"/>
      <c r="BI53" s="381"/>
      <c r="BJ53" s="104"/>
      <c r="BK53" s="105"/>
      <c r="BL53" s="381"/>
      <c r="BM53" s="381"/>
      <c r="BN53" s="104"/>
      <c r="BO53" s="105"/>
      <c r="BP53" s="105"/>
      <c r="BQ53" s="105"/>
      <c r="BR53" s="105"/>
      <c r="BS53" s="105"/>
      <c r="BT53" s="105"/>
      <c r="BU53" s="105"/>
      <c r="BV53" s="105"/>
      <c r="BW53" s="105"/>
      <c r="BX53" s="105"/>
      <c r="BY53" s="105"/>
      <c r="BZ53" s="105"/>
      <c r="CA53" s="105"/>
      <c r="CB53" s="103"/>
      <c r="CC53" s="103"/>
      <c r="CD53" s="102"/>
      <c r="CE53" s="102"/>
      <c r="CF53" s="102"/>
      <c r="CG53" s="506" t="str">
        <f t="array" ref="CG53">IF(CF53=0,"нет",CE53/CF53/COUNTIF(Кадры!$B$20:$B$75,ИНСТИТУТ!D53)*100)</f>
        <v>нет</v>
      </c>
      <c r="CH53" s="695"/>
      <c r="CI53" s="695"/>
      <c r="CJ53" s="695"/>
      <c r="CK53" s="695"/>
      <c r="CL53" s="695"/>
      <c r="CM53" s="695"/>
      <c r="CO53" s="141"/>
      <c r="CP53" s="155"/>
      <c r="CS53" s="93"/>
      <c r="CT53" s="93"/>
      <c r="CU53" s="93"/>
      <c r="CV53" s="93"/>
      <c r="CW53" s="93"/>
      <c r="CX53" s="93"/>
      <c r="CY53" s="93"/>
      <c r="CZ53" s="93"/>
      <c r="DB53" s="94"/>
      <c r="DC53" s="94"/>
      <c r="DD53" s="94"/>
      <c r="DE53" s="94" t="e">
        <f t="shared" si="56"/>
        <v>#VALUE!</v>
      </c>
      <c r="DF53" s="94" t="e">
        <f t="shared" si="56"/>
        <v>#VALUE!</v>
      </c>
      <c r="DG53" s="94" t="e">
        <f t="shared" si="56"/>
        <v>#VALUE!</v>
      </c>
      <c r="DH53" s="94" t="e">
        <f t="shared" si="56"/>
        <v>#VALUE!</v>
      </c>
      <c r="DI53" s="94" t="e">
        <f t="shared" si="56"/>
        <v>#VALUE!</v>
      </c>
      <c r="DK53" s="95"/>
      <c r="DL53" s="95"/>
      <c r="DM53" s="90"/>
      <c r="DO53" s="95"/>
      <c r="DP53" s="95"/>
      <c r="DQ53" s="90"/>
      <c r="DT53" s="149"/>
      <c r="DU53" s="149"/>
      <c r="DV53" s="149"/>
      <c r="DW53" s="149"/>
      <c r="DX53" s="149"/>
      <c r="DY53" s="149"/>
      <c r="DZ53" s="149"/>
      <c r="EC53" s="168">
        <f t="shared" si="43"/>
        <v>0</v>
      </c>
    </row>
    <row r="54" spans="1:133" ht="18" hidden="1" customHeight="1" x14ac:dyDescent="0.25">
      <c r="A54" s="139"/>
      <c r="B54" s="97"/>
      <c r="C54" s="139"/>
      <c r="D54" s="139"/>
      <c r="E54" s="157"/>
      <c r="F54" s="100"/>
      <c r="G54" s="100"/>
      <c r="H54" s="101"/>
      <c r="I54" s="100"/>
      <c r="J54" s="100"/>
      <c r="K54" s="101"/>
      <c r="L54" s="100"/>
      <c r="M54" s="100"/>
      <c r="N54" s="101"/>
      <c r="O54" s="100"/>
      <c r="P54" s="100"/>
      <c r="Q54" s="101"/>
      <c r="R54" s="100"/>
      <c r="S54" s="905"/>
      <c r="T54" s="100"/>
      <c r="U54" s="905"/>
      <c r="V54" s="101"/>
      <c r="W54" s="100"/>
      <c r="X54" s="100"/>
      <c r="Y54" s="100"/>
      <c r="Z54" s="100"/>
      <c r="AA54" s="101"/>
      <c r="AB54" s="100"/>
      <c r="AC54" s="607"/>
      <c r="AD54" s="607"/>
      <c r="AE54" s="100"/>
      <c r="AF54" s="101" t="str">
        <f t="shared" si="48"/>
        <v>нет</v>
      </c>
      <c r="AG54" s="100"/>
      <c r="AH54" s="100"/>
      <c r="AI54" s="101"/>
      <c r="AJ54" s="100"/>
      <c r="AK54" s="100"/>
      <c r="AL54" s="101"/>
      <c r="AM54" s="101"/>
      <c r="AN54" s="101"/>
      <c r="AO54" s="101"/>
      <c r="AP54" s="946"/>
      <c r="AQ54" s="946"/>
      <c r="AR54" s="101"/>
      <c r="AS54" s="607"/>
      <c r="AT54" s="607"/>
      <c r="AU54" s="101"/>
      <c r="AV54" s="102"/>
      <c r="AW54" s="102"/>
      <c r="AX54" s="102"/>
      <c r="AY54" s="100"/>
      <c r="AZ54" s="100"/>
      <c r="BA54" s="101"/>
      <c r="BB54" s="100"/>
      <c r="BC54" s="66"/>
      <c r="BD54" s="102"/>
      <c r="BE54" s="100"/>
      <c r="BF54" s="66"/>
      <c r="BG54" s="102"/>
      <c r="BH54" s="381"/>
      <c r="BI54" s="381"/>
      <c r="BJ54" s="104"/>
      <c r="BK54" s="105"/>
      <c r="BL54" s="381"/>
      <c r="BM54" s="381"/>
      <c r="BN54" s="104"/>
      <c r="BO54" s="105"/>
      <c r="BP54" s="105"/>
      <c r="BQ54" s="105"/>
      <c r="BR54" s="105"/>
      <c r="BS54" s="105"/>
      <c r="BT54" s="105"/>
      <c r="BU54" s="105"/>
      <c r="BV54" s="105"/>
      <c r="BW54" s="105"/>
      <c r="BX54" s="105"/>
      <c r="BY54" s="105"/>
      <c r="BZ54" s="105"/>
      <c r="CA54" s="105"/>
      <c r="CB54" s="103"/>
      <c r="CC54" s="103"/>
      <c r="CD54" s="102"/>
      <c r="CE54" s="102"/>
      <c r="CF54" s="102"/>
      <c r="CG54" s="506" t="str">
        <f t="array" ref="CG54">IF(CF54=0,"нет",CE54/CF54/COUNTIF(Кадры!$B$20:$B$75,ИНСТИТУТ!D54)*100)</f>
        <v>нет</v>
      </c>
      <c r="CH54" s="695"/>
      <c r="CI54" s="695"/>
      <c r="CJ54" s="695"/>
      <c r="CK54" s="695"/>
      <c r="CL54" s="695"/>
      <c r="CM54" s="695"/>
      <c r="CO54" s="141"/>
      <c r="CP54" s="155"/>
      <c r="CS54" s="93"/>
      <c r="CT54" s="93"/>
      <c r="CU54" s="93"/>
      <c r="CV54" s="93"/>
      <c r="CW54" s="93"/>
      <c r="CX54" s="93"/>
      <c r="CY54" s="93"/>
      <c r="CZ54" s="93"/>
      <c r="DB54" s="94"/>
      <c r="DC54" s="94"/>
      <c r="DD54" s="94"/>
      <c r="DE54" s="94" t="e">
        <f t="shared" si="56"/>
        <v>#VALUE!</v>
      </c>
      <c r="DF54" s="94" t="e">
        <f t="shared" si="56"/>
        <v>#VALUE!</v>
      </c>
      <c r="DG54" s="94" t="e">
        <f t="shared" si="56"/>
        <v>#VALUE!</v>
      </c>
      <c r="DH54" s="94" t="e">
        <f t="shared" si="56"/>
        <v>#VALUE!</v>
      </c>
      <c r="DI54" s="94" t="e">
        <f t="shared" si="56"/>
        <v>#VALUE!</v>
      </c>
      <c r="DK54" s="95"/>
      <c r="DL54" s="95"/>
      <c r="DM54" s="90"/>
      <c r="DO54" s="95"/>
      <c r="DP54" s="95"/>
      <c r="DQ54" s="90"/>
      <c r="DT54" s="149"/>
      <c r="DU54" s="149"/>
      <c r="DV54" s="149"/>
      <c r="DW54" s="149"/>
      <c r="DX54" s="149"/>
      <c r="DY54" s="149"/>
      <c r="DZ54" s="149"/>
      <c r="EC54" s="168">
        <f t="shared" si="43"/>
        <v>0</v>
      </c>
    </row>
    <row r="55" spans="1:133" ht="18" hidden="1" customHeight="1" x14ac:dyDescent="0.25">
      <c r="A55" s="139"/>
      <c r="B55" s="97"/>
      <c r="C55" s="139"/>
      <c r="D55" s="139"/>
      <c r="E55" s="157"/>
      <c r="F55" s="100"/>
      <c r="G55" s="100"/>
      <c r="H55" s="101"/>
      <c r="I55" s="100"/>
      <c r="J55" s="100"/>
      <c r="K55" s="101"/>
      <c r="L55" s="100"/>
      <c r="M55" s="100"/>
      <c r="N55" s="101"/>
      <c r="O55" s="100"/>
      <c r="P55" s="100"/>
      <c r="Q55" s="101"/>
      <c r="R55" s="100"/>
      <c r="S55" s="905"/>
      <c r="T55" s="100"/>
      <c r="U55" s="905"/>
      <c r="V55" s="101"/>
      <c r="W55" s="100"/>
      <c r="X55" s="100"/>
      <c r="Y55" s="100"/>
      <c r="Z55" s="100"/>
      <c r="AA55" s="101"/>
      <c r="AB55" s="100"/>
      <c r="AC55" s="607"/>
      <c r="AD55" s="607"/>
      <c r="AE55" s="100"/>
      <c r="AF55" s="101" t="str">
        <f t="shared" si="48"/>
        <v>нет</v>
      </c>
      <c r="AG55" s="100"/>
      <c r="AH55" s="100"/>
      <c r="AI55" s="101"/>
      <c r="AJ55" s="100"/>
      <c r="AK55" s="100"/>
      <c r="AL55" s="101"/>
      <c r="AM55" s="101"/>
      <c r="AN55" s="101"/>
      <c r="AO55" s="101"/>
      <c r="AP55" s="946"/>
      <c r="AQ55" s="946"/>
      <c r="AR55" s="101"/>
      <c r="AS55" s="607"/>
      <c r="AT55" s="607"/>
      <c r="AU55" s="101"/>
      <c r="AV55" s="102"/>
      <c r="AW55" s="102"/>
      <c r="AX55" s="102"/>
      <c r="AY55" s="100"/>
      <c r="AZ55" s="100"/>
      <c r="BA55" s="101"/>
      <c r="BB55" s="100"/>
      <c r="BC55" s="66"/>
      <c r="BD55" s="102"/>
      <c r="BE55" s="100"/>
      <c r="BF55" s="66"/>
      <c r="BG55" s="102"/>
      <c r="BH55" s="381"/>
      <c r="BI55" s="381"/>
      <c r="BJ55" s="104"/>
      <c r="BK55" s="105"/>
      <c r="BL55" s="381"/>
      <c r="BM55" s="381"/>
      <c r="BN55" s="104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3"/>
      <c r="CC55" s="103"/>
      <c r="CD55" s="102"/>
      <c r="CE55" s="102"/>
      <c r="CF55" s="102"/>
      <c r="CG55" s="506" t="str">
        <f t="array" ref="CG55">IF(CF55=0,"нет",CE55/CF55/COUNTIF(Кадры!$B$20:$B$75,ИНСТИТУТ!D55)*100)</f>
        <v>нет</v>
      </c>
      <c r="CH55" s="695"/>
      <c r="CI55" s="695"/>
      <c r="CJ55" s="695"/>
      <c r="CK55" s="695"/>
      <c r="CL55" s="695"/>
      <c r="CM55" s="695"/>
      <c r="CO55" s="141"/>
      <c r="CP55" s="155"/>
      <c r="CS55" s="93"/>
      <c r="CT55" s="93"/>
      <c r="CU55" s="93"/>
      <c r="CV55" s="93"/>
      <c r="CW55" s="93"/>
      <c r="CX55" s="93"/>
      <c r="CY55" s="93"/>
      <c r="CZ55" s="93"/>
      <c r="DB55" s="94"/>
      <c r="DC55" s="94"/>
      <c r="DD55" s="94"/>
      <c r="DE55" s="94" t="e">
        <f t="shared" si="56"/>
        <v>#VALUE!</v>
      </c>
      <c r="DF55" s="94" t="e">
        <f t="shared" si="56"/>
        <v>#VALUE!</v>
      </c>
      <c r="DG55" s="94" t="e">
        <f t="shared" si="56"/>
        <v>#VALUE!</v>
      </c>
      <c r="DH55" s="94" t="e">
        <f t="shared" si="56"/>
        <v>#VALUE!</v>
      </c>
      <c r="DI55" s="94" t="e">
        <f t="shared" si="56"/>
        <v>#VALUE!</v>
      </c>
      <c r="DK55" s="95"/>
      <c r="DL55" s="95"/>
      <c r="DM55" s="90"/>
      <c r="DO55" s="95"/>
      <c r="DP55" s="95"/>
      <c r="DQ55" s="90"/>
      <c r="DT55" s="149"/>
      <c r="DU55" s="149"/>
      <c r="DV55" s="149"/>
      <c r="DW55" s="149"/>
      <c r="DX55" s="149"/>
      <c r="DY55" s="149"/>
      <c r="DZ55" s="149"/>
      <c r="EC55" s="168">
        <f t="shared" si="43"/>
        <v>0</v>
      </c>
    </row>
    <row r="56" spans="1:133" ht="18" hidden="1" customHeight="1" x14ac:dyDescent="0.25">
      <c r="A56" s="139"/>
      <c r="B56" s="97"/>
      <c r="C56" s="139"/>
      <c r="D56" s="139"/>
      <c r="E56" s="157"/>
      <c r="F56" s="100"/>
      <c r="G56" s="100"/>
      <c r="H56" s="101"/>
      <c r="I56" s="100"/>
      <c r="J56" s="100"/>
      <c r="K56" s="101"/>
      <c r="L56" s="100"/>
      <c r="M56" s="100"/>
      <c r="N56" s="101"/>
      <c r="O56" s="100"/>
      <c r="P56" s="100"/>
      <c r="Q56" s="101"/>
      <c r="R56" s="100"/>
      <c r="S56" s="905"/>
      <c r="T56" s="100"/>
      <c r="U56" s="905"/>
      <c r="V56" s="101"/>
      <c r="W56" s="100"/>
      <c r="X56" s="100"/>
      <c r="Y56" s="100"/>
      <c r="Z56" s="100"/>
      <c r="AA56" s="101"/>
      <c r="AB56" s="100"/>
      <c r="AC56" s="607"/>
      <c r="AD56" s="607"/>
      <c r="AE56" s="100"/>
      <c r="AF56" s="101" t="str">
        <f t="shared" si="48"/>
        <v>нет</v>
      </c>
      <c r="AG56" s="100"/>
      <c r="AH56" s="100"/>
      <c r="AI56" s="101"/>
      <c r="AJ56" s="100"/>
      <c r="AK56" s="100"/>
      <c r="AL56" s="101"/>
      <c r="AM56" s="101"/>
      <c r="AN56" s="101"/>
      <c r="AO56" s="101"/>
      <c r="AP56" s="946"/>
      <c r="AQ56" s="946"/>
      <c r="AR56" s="101"/>
      <c r="AS56" s="607"/>
      <c r="AT56" s="607"/>
      <c r="AU56" s="101"/>
      <c r="AV56" s="102"/>
      <c r="AW56" s="102"/>
      <c r="AX56" s="102"/>
      <c r="AY56" s="100"/>
      <c r="AZ56" s="100"/>
      <c r="BA56" s="101"/>
      <c r="BB56" s="100"/>
      <c r="BC56" s="66"/>
      <c r="BD56" s="102"/>
      <c r="BE56" s="100"/>
      <c r="BF56" s="66"/>
      <c r="BG56" s="102"/>
      <c r="BH56" s="381"/>
      <c r="BI56" s="381"/>
      <c r="BJ56" s="104"/>
      <c r="BK56" s="105"/>
      <c r="BL56" s="381"/>
      <c r="BM56" s="381"/>
      <c r="BN56" s="104"/>
      <c r="BO56" s="105"/>
      <c r="BP56" s="105"/>
      <c r="BQ56" s="105"/>
      <c r="BR56" s="105"/>
      <c r="BS56" s="105"/>
      <c r="BT56" s="105"/>
      <c r="BU56" s="105"/>
      <c r="BV56" s="105"/>
      <c r="BW56" s="105"/>
      <c r="BX56" s="105"/>
      <c r="BY56" s="105"/>
      <c r="BZ56" s="105"/>
      <c r="CA56" s="105"/>
      <c r="CB56" s="103"/>
      <c r="CC56" s="103"/>
      <c r="CD56" s="102"/>
      <c r="CE56" s="102"/>
      <c r="CF56" s="102"/>
      <c r="CG56" s="506" t="str">
        <f t="array" ref="CG56">IF(CF56=0,"нет",CE56/CF56/COUNTIF(Кадры!$B$20:$B$75,ИНСТИТУТ!D56)*100)</f>
        <v>нет</v>
      </c>
      <c r="CH56" s="695"/>
      <c r="CI56" s="695"/>
      <c r="CJ56" s="695"/>
      <c r="CK56" s="695"/>
      <c r="CL56" s="695"/>
      <c r="CM56" s="695"/>
      <c r="CO56" s="141"/>
      <c r="CP56" s="155"/>
      <c r="CS56" s="93"/>
      <c r="CT56" s="93"/>
      <c r="CU56" s="93"/>
      <c r="CV56" s="93"/>
      <c r="CW56" s="93"/>
      <c r="CX56" s="93"/>
      <c r="CY56" s="93"/>
      <c r="CZ56" s="93"/>
      <c r="DB56" s="94"/>
      <c r="DC56" s="94"/>
      <c r="DD56" s="94"/>
      <c r="DE56" s="94" t="e">
        <f t="shared" si="56"/>
        <v>#VALUE!</v>
      </c>
      <c r="DF56" s="94" t="e">
        <f t="shared" si="56"/>
        <v>#VALUE!</v>
      </c>
      <c r="DG56" s="94" t="e">
        <f t="shared" si="56"/>
        <v>#VALUE!</v>
      </c>
      <c r="DH56" s="94" t="e">
        <f t="shared" si="56"/>
        <v>#VALUE!</v>
      </c>
      <c r="DI56" s="94" t="e">
        <f t="shared" si="56"/>
        <v>#VALUE!</v>
      </c>
      <c r="DK56" s="95"/>
      <c r="DL56" s="95"/>
      <c r="DM56" s="90"/>
      <c r="DO56" s="95"/>
      <c r="DP56" s="95"/>
      <c r="DQ56" s="90"/>
      <c r="DT56" s="149"/>
      <c r="DU56" s="149"/>
      <c r="DV56" s="149"/>
      <c r="DW56" s="149"/>
      <c r="DX56" s="149"/>
      <c r="DY56" s="149"/>
      <c r="DZ56" s="149"/>
      <c r="EC56" s="168">
        <f t="shared" si="43"/>
        <v>0</v>
      </c>
    </row>
    <row r="57" spans="1:133" ht="18" hidden="1" customHeight="1" x14ac:dyDescent="0.25">
      <c r="A57" s="139"/>
      <c r="B57" s="97"/>
      <c r="C57" s="139"/>
      <c r="D57" s="139"/>
      <c r="E57" s="157"/>
      <c r="F57" s="100"/>
      <c r="G57" s="100"/>
      <c r="H57" s="101"/>
      <c r="I57" s="100"/>
      <c r="J57" s="100"/>
      <c r="K57" s="101"/>
      <c r="L57" s="100"/>
      <c r="M57" s="100"/>
      <c r="N57" s="101"/>
      <c r="O57" s="100"/>
      <c r="P57" s="100"/>
      <c r="Q57" s="101"/>
      <c r="R57" s="100"/>
      <c r="S57" s="905"/>
      <c r="T57" s="100"/>
      <c r="U57" s="905"/>
      <c r="V57" s="101"/>
      <c r="W57" s="100"/>
      <c r="X57" s="100"/>
      <c r="Y57" s="100"/>
      <c r="Z57" s="100"/>
      <c r="AA57" s="101"/>
      <c r="AB57" s="100"/>
      <c r="AC57" s="607"/>
      <c r="AD57" s="607"/>
      <c r="AE57" s="100"/>
      <c r="AF57" s="101" t="str">
        <f t="shared" si="48"/>
        <v>нет</v>
      </c>
      <c r="AG57" s="100"/>
      <c r="AH57" s="100"/>
      <c r="AI57" s="101"/>
      <c r="AJ57" s="100"/>
      <c r="AK57" s="100"/>
      <c r="AL57" s="101"/>
      <c r="AM57" s="101"/>
      <c r="AN57" s="101"/>
      <c r="AO57" s="101"/>
      <c r="AP57" s="946"/>
      <c r="AQ57" s="946"/>
      <c r="AR57" s="101"/>
      <c r="AS57" s="607"/>
      <c r="AT57" s="607"/>
      <c r="AU57" s="101"/>
      <c r="AV57" s="102"/>
      <c r="AW57" s="102"/>
      <c r="AX57" s="102"/>
      <c r="AY57" s="100"/>
      <c r="AZ57" s="100"/>
      <c r="BA57" s="101"/>
      <c r="BB57" s="100"/>
      <c r="BC57" s="66"/>
      <c r="BD57" s="102"/>
      <c r="BE57" s="100"/>
      <c r="BF57" s="66"/>
      <c r="BG57" s="102"/>
      <c r="BH57" s="381"/>
      <c r="BI57" s="381"/>
      <c r="BJ57" s="104"/>
      <c r="BK57" s="105"/>
      <c r="BL57" s="381"/>
      <c r="BM57" s="381"/>
      <c r="BN57" s="104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3"/>
      <c r="CC57" s="103"/>
      <c r="CD57" s="102"/>
      <c r="CE57" s="102"/>
      <c r="CF57" s="102"/>
      <c r="CG57" s="506" t="str">
        <f t="array" ref="CG57">IF(CF57=0,"нет",CE57/CF57/COUNTIF(Кадры!$B$20:$B$75,ИНСТИТУТ!D57)*100)</f>
        <v>нет</v>
      </c>
      <c r="CH57" s="695"/>
      <c r="CI57" s="695"/>
      <c r="CJ57" s="695"/>
      <c r="CK57" s="695"/>
      <c r="CL57" s="695"/>
      <c r="CM57" s="695"/>
      <c r="CO57" s="141"/>
      <c r="CP57" s="155"/>
      <c r="CS57" s="93"/>
      <c r="CT57" s="93"/>
      <c r="CU57" s="93"/>
      <c r="CV57" s="93"/>
      <c r="CW57" s="93"/>
      <c r="CX57" s="93"/>
      <c r="CY57" s="93"/>
      <c r="CZ57" s="93"/>
      <c r="DB57" s="94"/>
      <c r="DC57" s="94"/>
      <c r="DD57" s="94"/>
      <c r="DE57" s="94" t="e">
        <f t="shared" si="56"/>
        <v>#VALUE!</v>
      </c>
      <c r="DF57" s="94" t="e">
        <f t="shared" si="56"/>
        <v>#VALUE!</v>
      </c>
      <c r="DG57" s="94" t="e">
        <f t="shared" si="56"/>
        <v>#VALUE!</v>
      </c>
      <c r="DH57" s="94" t="e">
        <f t="shared" si="56"/>
        <v>#VALUE!</v>
      </c>
      <c r="DI57" s="94" t="e">
        <f t="shared" si="56"/>
        <v>#VALUE!</v>
      </c>
      <c r="DK57" s="95"/>
      <c r="DL57" s="95"/>
      <c r="DM57" s="90"/>
      <c r="DO57" s="95"/>
      <c r="DP57" s="95"/>
      <c r="DQ57" s="90"/>
      <c r="DT57" s="149"/>
      <c r="DU57" s="149"/>
      <c r="DV57" s="149"/>
      <c r="DW57" s="149"/>
      <c r="DX57" s="149"/>
      <c r="DY57" s="149"/>
      <c r="DZ57" s="149"/>
      <c r="EC57" s="168">
        <f t="shared" si="43"/>
        <v>0</v>
      </c>
    </row>
    <row r="58" spans="1:133" ht="18" hidden="1" customHeight="1" x14ac:dyDescent="0.25">
      <c r="A58" s="139"/>
      <c r="B58" s="97"/>
      <c r="C58" s="139"/>
      <c r="D58" s="139"/>
      <c r="E58" s="157"/>
      <c r="F58" s="100"/>
      <c r="G58" s="100"/>
      <c r="H58" s="101"/>
      <c r="I58" s="100"/>
      <c r="J58" s="100"/>
      <c r="K58" s="101"/>
      <c r="L58" s="100"/>
      <c r="M58" s="100"/>
      <c r="N58" s="101"/>
      <c r="O58" s="100"/>
      <c r="P58" s="100"/>
      <c r="Q58" s="101"/>
      <c r="R58" s="100"/>
      <c r="S58" s="905"/>
      <c r="T58" s="100"/>
      <c r="U58" s="905"/>
      <c r="V58" s="101"/>
      <c r="W58" s="100"/>
      <c r="X58" s="100"/>
      <c r="Y58" s="100"/>
      <c r="Z58" s="100"/>
      <c r="AA58" s="101"/>
      <c r="AB58" s="100"/>
      <c r="AC58" s="607"/>
      <c r="AD58" s="607"/>
      <c r="AE58" s="100"/>
      <c r="AF58" s="101" t="str">
        <f t="shared" si="48"/>
        <v>нет</v>
      </c>
      <c r="AG58" s="100"/>
      <c r="AH58" s="100"/>
      <c r="AI58" s="101"/>
      <c r="AJ58" s="100"/>
      <c r="AK58" s="100"/>
      <c r="AL58" s="101"/>
      <c r="AM58" s="101"/>
      <c r="AN58" s="101"/>
      <c r="AO58" s="101"/>
      <c r="AP58" s="946"/>
      <c r="AQ58" s="946"/>
      <c r="AR58" s="101"/>
      <c r="AS58" s="607"/>
      <c r="AT58" s="607"/>
      <c r="AU58" s="101"/>
      <c r="AV58" s="102"/>
      <c r="AW58" s="102"/>
      <c r="AX58" s="102"/>
      <c r="AY58" s="100"/>
      <c r="AZ58" s="100"/>
      <c r="BA58" s="101"/>
      <c r="BB58" s="100"/>
      <c r="BC58" s="66"/>
      <c r="BD58" s="102"/>
      <c r="BE58" s="100"/>
      <c r="BF58" s="66"/>
      <c r="BG58" s="102"/>
      <c r="BH58" s="381"/>
      <c r="BI58" s="381"/>
      <c r="BJ58" s="104"/>
      <c r="BK58" s="105"/>
      <c r="BL58" s="381"/>
      <c r="BM58" s="381"/>
      <c r="BN58" s="104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3"/>
      <c r="CC58" s="103"/>
      <c r="CD58" s="102"/>
      <c r="CE58" s="102"/>
      <c r="CF58" s="102"/>
      <c r="CG58" s="506" t="str">
        <f t="array" ref="CG58">IF(CF58=0,"нет",CE58/CF58/COUNTIF(Кадры!$B$20:$B$75,ИНСТИТУТ!D58)*100)</f>
        <v>нет</v>
      </c>
      <c r="CH58" s="695"/>
      <c r="CI58" s="695"/>
      <c r="CJ58" s="695"/>
      <c r="CK58" s="695"/>
      <c r="CL58" s="695"/>
      <c r="CM58" s="695"/>
      <c r="CO58" s="141"/>
      <c r="CP58" s="155"/>
      <c r="CS58" s="93"/>
      <c r="CT58" s="93"/>
      <c r="CU58" s="93"/>
      <c r="CV58" s="93"/>
      <c r="CW58" s="93"/>
      <c r="CX58" s="93"/>
      <c r="CY58" s="93"/>
      <c r="CZ58" s="93"/>
      <c r="DB58" s="94"/>
      <c r="DC58" s="94"/>
      <c r="DD58" s="94"/>
      <c r="DE58" s="94" t="e">
        <f t="shared" ref="DE58:DI67" si="57">SUM(IF($F58:$CM58=нет,0,100)*$F$11:$CM$11*($F$108:$CM$108=DE$4)/100*($F$110:$CM$143*($B$110:$B$143=$B58)*($A$110:$A$143=$A$108)))</f>
        <v>#VALUE!</v>
      </c>
      <c r="DF58" s="94" t="e">
        <f t="shared" si="57"/>
        <v>#VALUE!</v>
      </c>
      <c r="DG58" s="94" t="e">
        <f t="shared" si="57"/>
        <v>#VALUE!</v>
      </c>
      <c r="DH58" s="94" t="e">
        <f t="shared" si="57"/>
        <v>#VALUE!</v>
      </c>
      <c r="DI58" s="94" t="e">
        <f t="shared" si="57"/>
        <v>#VALUE!</v>
      </c>
      <c r="DK58" s="95"/>
      <c r="DL58" s="95"/>
      <c r="DM58" s="90"/>
      <c r="DO58" s="95"/>
      <c r="DP58" s="95"/>
      <c r="DQ58" s="90"/>
      <c r="DT58" s="149"/>
      <c r="DU58" s="149"/>
      <c r="DV58" s="149"/>
      <c r="DW58" s="149"/>
      <c r="DX58" s="149"/>
      <c r="DY58" s="149"/>
      <c r="DZ58" s="149"/>
      <c r="EC58" s="168">
        <f t="shared" si="43"/>
        <v>0</v>
      </c>
    </row>
    <row r="59" spans="1:133" ht="18" hidden="1" customHeight="1" x14ac:dyDescent="0.25">
      <c r="A59" s="139"/>
      <c r="B59" s="97"/>
      <c r="C59" s="98"/>
      <c r="D59" s="98"/>
      <c r="E59" s="99"/>
      <c r="F59" s="100"/>
      <c r="G59" s="100"/>
      <c r="H59" s="101"/>
      <c r="I59" s="100"/>
      <c r="J59" s="100"/>
      <c r="K59" s="101"/>
      <c r="L59" s="100"/>
      <c r="M59" s="100"/>
      <c r="N59" s="101"/>
      <c r="O59" s="100"/>
      <c r="P59" s="100"/>
      <c r="Q59" s="101"/>
      <c r="R59" s="100"/>
      <c r="S59" s="905"/>
      <c r="T59" s="100"/>
      <c r="U59" s="905"/>
      <c r="V59" s="101"/>
      <c r="W59" s="100"/>
      <c r="X59" s="100"/>
      <c r="Y59" s="100"/>
      <c r="Z59" s="100"/>
      <c r="AA59" s="101"/>
      <c r="AB59" s="100"/>
      <c r="AC59" s="607"/>
      <c r="AD59" s="607"/>
      <c r="AE59" s="100"/>
      <c r="AF59" s="101" t="str">
        <f t="shared" si="48"/>
        <v>нет</v>
      </c>
      <c r="AG59" s="100"/>
      <c r="AH59" s="100"/>
      <c r="AI59" s="101"/>
      <c r="AJ59" s="100"/>
      <c r="AK59" s="100"/>
      <c r="AL59" s="101"/>
      <c r="AM59" s="101"/>
      <c r="AN59" s="101"/>
      <c r="AO59" s="101"/>
      <c r="AP59" s="946"/>
      <c r="AQ59" s="946"/>
      <c r="AR59" s="101"/>
      <c r="AS59" s="607"/>
      <c r="AT59" s="607"/>
      <c r="AU59" s="101"/>
      <c r="AV59" s="102"/>
      <c r="AW59" s="102"/>
      <c r="AX59" s="102"/>
      <c r="AY59" s="100"/>
      <c r="AZ59" s="100"/>
      <c r="BA59" s="101"/>
      <c r="BB59" s="100"/>
      <c r="BC59" s="66"/>
      <c r="BD59" s="102"/>
      <c r="BE59" s="100"/>
      <c r="BF59" s="66"/>
      <c r="BG59" s="102"/>
      <c r="BH59" s="381"/>
      <c r="BI59" s="381"/>
      <c r="BJ59" s="104"/>
      <c r="BK59" s="105"/>
      <c r="BL59" s="381"/>
      <c r="BM59" s="381"/>
      <c r="BN59" s="104"/>
      <c r="BO59" s="105"/>
      <c r="BP59" s="1094"/>
      <c r="BQ59" s="1094"/>
      <c r="BR59" s="1094"/>
      <c r="BS59" s="1094"/>
      <c r="BT59" s="1094"/>
      <c r="BU59" s="1094"/>
      <c r="BV59" s="1094"/>
      <c r="BW59" s="1094"/>
      <c r="BX59" s="1094"/>
      <c r="BY59" s="1094"/>
      <c r="BZ59" s="1094"/>
      <c r="CA59" s="1094"/>
      <c r="CB59" s="1497"/>
      <c r="CC59" s="1497"/>
      <c r="CD59" s="1093"/>
      <c r="CE59" s="1093"/>
      <c r="CF59" s="1093"/>
      <c r="CG59" s="1496" t="str">
        <f t="array" ref="CG59">IF(CF59=0,"нет",CE59/CF59/COUNTIF(Кадры!$B$20:$B$75,ИНСТИТУТ!D59)*100)</f>
        <v>нет</v>
      </c>
      <c r="CH59" s="695"/>
      <c r="CI59" s="695"/>
      <c r="CJ59" s="695"/>
      <c r="CK59" s="695"/>
      <c r="CL59" s="695"/>
      <c r="CM59" s="695"/>
      <c r="CO59" s="141"/>
      <c r="CP59" s="155"/>
      <c r="CS59" s="93"/>
      <c r="CT59" s="93"/>
      <c r="CU59" s="93"/>
      <c r="CV59" s="93"/>
      <c r="CW59" s="93"/>
      <c r="CX59" s="93"/>
      <c r="CY59" s="93"/>
      <c r="CZ59" s="93"/>
      <c r="DB59" s="94"/>
      <c r="DC59" s="94"/>
      <c r="DD59" s="94"/>
      <c r="DE59" s="94" t="e">
        <f t="shared" si="57"/>
        <v>#VALUE!</v>
      </c>
      <c r="DF59" s="94" t="e">
        <f t="shared" si="57"/>
        <v>#VALUE!</v>
      </c>
      <c r="DG59" s="94" t="e">
        <f t="shared" si="57"/>
        <v>#VALUE!</v>
      </c>
      <c r="DH59" s="94" t="e">
        <f t="shared" si="57"/>
        <v>#VALUE!</v>
      </c>
      <c r="DI59" s="94" t="e">
        <f t="shared" si="57"/>
        <v>#VALUE!</v>
      </c>
      <c r="DK59" s="95"/>
      <c r="DL59" s="95"/>
      <c r="DM59" s="90"/>
      <c r="DO59" s="95"/>
      <c r="DP59" s="95"/>
      <c r="DQ59" s="90"/>
      <c r="DT59" s="149"/>
      <c r="DU59" s="149"/>
      <c r="DV59" s="149"/>
      <c r="DW59" s="149"/>
      <c r="DX59" s="149"/>
      <c r="DY59" s="149"/>
      <c r="DZ59" s="149"/>
    </row>
    <row r="60" spans="1:133" ht="18" x14ac:dyDescent="0.2">
      <c r="A60" s="110"/>
      <c r="BF60" s="604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9"/>
      <c r="CH60" s="146"/>
      <c r="DE60" s="94" t="e">
        <f t="shared" si="57"/>
        <v>#VALUE!</v>
      </c>
      <c r="DF60" s="94" t="e">
        <f t="shared" si="57"/>
        <v>#VALUE!</v>
      </c>
      <c r="DG60" s="94" t="e">
        <f t="shared" si="57"/>
        <v>#VALUE!</v>
      </c>
      <c r="DH60" s="94" t="e">
        <f t="shared" si="57"/>
        <v>#VALUE!</v>
      </c>
      <c r="DI60" s="94" t="e">
        <f t="shared" si="57"/>
        <v>#VALUE!</v>
      </c>
    </row>
    <row r="61" spans="1:133" ht="18" x14ac:dyDescent="0.2">
      <c r="A61" s="110"/>
      <c r="BF61" s="604"/>
      <c r="BP61" s="146"/>
      <c r="BQ61" s="146"/>
      <c r="BR61" s="146"/>
      <c r="BS61" s="146"/>
      <c r="BT61" s="146"/>
      <c r="BU61" s="146"/>
      <c r="BV61" s="146"/>
      <c r="BW61" s="146"/>
      <c r="BX61" s="146"/>
      <c r="BY61" s="146"/>
      <c r="BZ61" s="146"/>
      <c r="CA61" s="146"/>
      <c r="CB61" s="146"/>
      <c r="CC61" s="146"/>
      <c r="CD61" s="146"/>
      <c r="CE61" s="146"/>
      <c r="CF61" s="146"/>
      <c r="CG61" s="149"/>
      <c r="CH61" s="146"/>
      <c r="DE61" s="94" t="e">
        <f t="shared" si="57"/>
        <v>#VALUE!</v>
      </c>
      <c r="DF61" s="94" t="e">
        <f t="shared" si="57"/>
        <v>#VALUE!</v>
      </c>
      <c r="DG61" s="94" t="e">
        <f t="shared" si="57"/>
        <v>#VALUE!</v>
      </c>
      <c r="DH61" s="94" t="e">
        <f t="shared" si="57"/>
        <v>#VALUE!</v>
      </c>
      <c r="DI61" s="94" t="e">
        <f t="shared" si="57"/>
        <v>#VALUE!</v>
      </c>
    </row>
    <row r="62" spans="1:133" ht="18" x14ac:dyDescent="0.2">
      <c r="A62" s="110"/>
      <c r="BF62" s="604"/>
      <c r="BP62" s="146"/>
      <c r="BQ62" s="146"/>
      <c r="BR62" s="146"/>
      <c r="BS62" s="146"/>
      <c r="BT62" s="146"/>
      <c r="BU62" s="146"/>
      <c r="BV62" s="146"/>
      <c r="BW62" s="146"/>
      <c r="BX62" s="146"/>
      <c r="BY62" s="146"/>
      <c r="BZ62" s="146"/>
      <c r="CA62" s="146"/>
      <c r="CB62" s="146"/>
      <c r="CC62" s="146"/>
      <c r="CD62" s="146"/>
      <c r="CE62" s="146"/>
      <c r="CF62" s="146"/>
      <c r="CG62" s="149"/>
      <c r="CH62" s="146"/>
      <c r="DE62" s="94" t="e">
        <f t="shared" si="57"/>
        <v>#VALUE!</v>
      </c>
      <c r="DF62" s="94" t="e">
        <f t="shared" si="57"/>
        <v>#VALUE!</v>
      </c>
      <c r="DG62" s="94" t="e">
        <f t="shared" si="57"/>
        <v>#VALUE!</v>
      </c>
      <c r="DH62" s="94" t="e">
        <f t="shared" si="57"/>
        <v>#VALUE!</v>
      </c>
      <c r="DI62" s="94" t="e">
        <f t="shared" si="57"/>
        <v>#VALUE!</v>
      </c>
    </row>
    <row r="63" spans="1:133" ht="18" x14ac:dyDescent="0.2">
      <c r="A63" s="110"/>
      <c r="BF63" s="604"/>
      <c r="BP63" s="146"/>
      <c r="BQ63" s="146"/>
      <c r="BR63" s="146"/>
      <c r="BS63" s="146"/>
      <c r="BT63" s="146"/>
      <c r="BU63" s="146"/>
      <c r="BV63" s="146"/>
      <c r="BW63" s="146"/>
      <c r="BX63" s="146"/>
      <c r="BY63" s="146"/>
      <c r="BZ63" s="146"/>
      <c r="CA63" s="146"/>
      <c r="CB63" s="146"/>
      <c r="CC63" s="146"/>
      <c r="CD63" s="146"/>
      <c r="CE63" s="146"/>
      <c r="CF63" s="146"/>
      <c r="CG63" s="149"/>
      <c r="CH63" s="146"/>
      <c r="DE63" s="94" t="e">
        <f t="shared" si="57"/>
        <v>#VALUE!</v>
      </c>
      <c r="DF63" s="94" t="e">
        <f t="shared" si="57"/>
        <v>#VALUE!</v>
      </c>
      <c r="DG63" s="94" t="e">
        <f t="shared" si="57"/>
        <v>#VALUE!</v>
      </c>
      <c r="DH63" s="94" t="e">
        <f t="shared" si="57"/>
        <v>#VALUE!</v>
      </c>
      <c r="DI63" s="94" t="e">
        <f t="shared" si="57"/>
        <v>#VALUE!</v>
      </c>
    </row>
    <row r="64" spans="1:133" ht="18" x14ac:dyDescent="0.2">
      <c r="A64" s="110"/>
      <c r="BF64" s="604"/>
      <c r="BP64" s="146"/>
      <c r="BQ64" s="146"/>
      <c r="BR64" s="146"/>
      <c r="BS64" s="146"/>
      <c r="BT64" s="146"/>
      <c r="BU64" s="146"/>
      <c r="BV64" s="146"/>
      <c r="BW64" s="146"/>
      <c r="BX64" s="146"/>
      <c r="BY64" s="146"/>
      <c r="BZ64" s="146"/>
      <c r="CA64" s="146"/>
      <c r="CB64" s="146"/>
      <c r="CC64" s="146"/>
      <c r="CD64" s="146"/>
      <c r="CE64" s="146"/>
      <c r="CF64" s="146"/>
      <c r="CG64" s="149"/>
      <c r="CH64" s="146"/>
      <c r="DE64" s="94" t="e">
        <f t="shared" si="57"/>
        <v>#VALUE!</v>
      </c>
      <c r="DF64" s="94" t="e">
        <f t="shared" si="57"/>
        <v>#VALUE!</v>
      </c>
      <c r="DG64" s="94" t="e">
        <f t="shared" si="57"/>
        <v>#VALUE!</v>
      </c>
      <c r="DH64" s="94" t="e">
        <f t="shared" si="57"/>
        <v>#VALUE!</v>
      </c>
      <c r="DI64" s="94" t="e">
        <f t="shared" si="57"/>
        <v>#VALUE!</v>
      </c>
    </row>
    <row r="65" spans="1:113" ht="18" x14ac:dyDescent="0.2">
      <c r="A65" s="110"/>
      <c r="BF65" s="604"/>
      <c r="BP65" s="146"/>
      <c r="BQ65" s="146"/>
      <c r="BR65" s="146"/>
      <c r="BS65" s="146"/>
      <c r="BT65" s="146"/>
      <c r="BU65" s="146"/>
      <c r="BV65" s="146"/>
      <c r="BW65" s="146"/>
      <c r="BX65" s="146"/>
      <c r="BY65" s="146"/>
      <c r="BZ65" s="146"/>
      <c r="CA65" s="146"/>
      <c r="CB65" s="146"/>
      <c r="CC65" s="146"/>
      <c r="CD65" s="146"/>
      <c r="CE65" s="146"/>
      <c r="CF65" s="146"/>
      <c r="CG65" s="149"/>
      <c r="CH65" s="146"/>
      <c r="DE65" s="94" t="e">
        <f t="shared" si="57"/>
        <v>#VALUE!</v>
      </c>
      <c r="DF65" s="94" t="e">
        <f t="shared" si="57"/>
        <v>#VALUE!</v>
      </c>
      <c r="DG65" s="94" t="e">
        <f t="shared" si="57"/>
        <v>#VALUE!</v>
      </c>
      <c r="DH65" s="94" t="e">
        <f t="shared" si="57"/>
        <v>#VALUE!</v>
      </c>
      <c r="DI65" s="94" t="e">
        <f t="shared" si="57"/>
        <v>#VALUE!</v>
      </c>
    </row>
    <row r="66" spans="1:113" ht="18" x14ac:dyDescent="0.2">
      <c r="A66" s="110"/>
      <c r="BF66" s="604"/>
      <c r="BP66" s="146"/>
      <c r="BQ66" s="146"/>
      <c r="BR66" s="146"/>
      <c r="BS66" s="146"/>
      <c r="BT66" s="146"/>
      <c r="BU66" s="146"/>
      <c r="BV66" s="146"/>
      <c r="BW66" s="146"/>
      <c r="BX66" s="146"/>
      <c r="BY66" s="146"/>
      <c r="BZ66" s="146"/>
      <c r="CA66" s="146"/>
      <c r="CB66" s="146"/>
      <c r="CC66" s="146"/>
      <c r="CD66" s="146"/>
      <c r="CE66" s="146"/>
      <c r="CF66" s="146"/>
      <c r="CG66" s="149"/>
      <c r="CH66" s="146"/>
      <c r="DE66" s="94" t="e">
        <f t="shared" si="57"/>
        <v>#VALUE!</v>
      </c>
      <c r="DF66" s="94" t="e">
        <f t="shared" si="57"/>
        <v>#VALUE!</v>
      </c>
      <c r="DG66" s="94" t="e">
        <f t="shared" si="57"/>
        <v>#VALUE!</v>
      </c>
      <c r="DH66" s="94" t="e">
        <f t="shared" si="57"/>
        <v>#VALUE!</v>
      </c>
      <c r="DI66" s="94" t="e">
        <f t="shared" si="57"/>
        <v>#VALUE!</v>
      </c>
    </row>
    <row r="67" spans="1:113" ht="18" x14ac:dyDescent="0.2">
      <c r="A67" s="110"/>
      <c r="BF67" s="604"/>
      <c r="BP67" s="146"/>
      <c r="BQ67" s="146"/>
      <c r="BR67" s="146"/>
      <c r="BS67" s="146"/>
      <c r="BT67" s="146"/>
      <c r="BU67" s="146"/>
      <c r="BV67" s="146"/>
      <c r="BW67" s="146"/>
      <c r="BX67" s="146"/>
      <c r="BY67" s="146"/>
      <c r="BZ67" s="146"/>
      <c r="CA67" s="146"/>
      <c r="CB67" s="146"/>
      <c r="CC67" s="146"/>
      <c r="CD67" s="146"/>
      <c r="CE67" s="146"/>
      <c r="CF67" s="146"/>
      <c r="CG67" s="149"/>
      <c r="CH67" s="146"/>
      <c r="DE67" s="94" t="e">
        <f t="shared" si="57"/>
        <v>#VALUE!</v>
      </c>
      <c r="DF67" s="94" t="e">
        <f t="shared" si="57"/>
        <v>#VALUE!</v>
      </c>
      <c r="DG67" s="94" t="e">
        <f t="shared" si="57"/>
        <v>#VALUE!</v>
      </c>
      <c r="DH67" s="94" t="e">
        <f t="shared" si="57"/>
        <v>#VALUE!</v>
      </c>
      <c r="DI67" s="94" t="e">
        <f t="shared" si="57"/>
        <v>#VALUE!</v>
      </c>
    </row>
    <row r="68" spans="1:113" ht="18" x14ac:dyDescent="0.2">
      <c r="A68" s="110"/>
      <c r="BF68" s="604"/>
      <c r="BP68" s="146"/>
      <c r="BQ68" s="146"/>
      <c r="BR68" s="146"/>
      <c r="BS68" s="146"/>
      <c r="BT68" s="146"/>
      <c r="BU68" s="146"/>
      <c r="BV68" s="146"/>
      <c r="BW68" s="146"/>
      <c r="BX68" s="146"/>
      <c r="BY68" s="146"/>
      <c r="BZ68" s="146"/>
      <c r="CA68" s="146"/>
      <c r="CB68" s="146"/>
      <c r="CC68" s="146"/>
      <c r="CD68" s="146"/>
      <c r="CE68" s="146"/>
      <c r="CF68" s="146"/>
      <c r="CG68" s="149"/>
      <c r="CH68" s="146"/>
      <c r="DE68" s="94" t="e">
        <f t="shared" ref="DE68:DI77" si="58">SUM(IF($F68:$CM68=нет,0,100)*$F$11:$CM$11*($F$108:$CM$108=DE$4)/100*($F$110:$CM$143*($B$110:$B$143=$B68)*($A$110:$A$143=$A$108)))</f>
        <v>#VALUE!</v>
      </c>
      <c r="DF68" s="94" t="e">
        <f t="shared" si="58"/>
        <v>#VALUE!</v>
      </c>
      <c r="DG68" s="94" t="e">
        <f t="shared" si="58"/>
        <v>#VALUE!</v>
      </c>
      <c r="DH68" s="94" t="e">
        <f t="shared" si="58"/>
        <v>#VALUE!</v>
      </c>
      <c r="DI68" s="94" t="e">
        <f t="shared" si="58"/>
        <v>#VALUE!</v>
      </c>
    </row>
    <row r="69" spans="1:113" ht="18" x14ac:dyDescent="0.2">
      <c r="A69" s="110"/>
      <c r="BF69" s="604"/>
      <c r="BP69" s="146"/>
      <c r="BQ69" s="146"/>
      <c r="BR69" s="146"/>
      <c r="BS69" s="146"/>
      <c r="BT69" s="146"/>
      <c r="BU69" s="146"/>
      <c r="BV69" s="146"/>
      <c r="BW69" s="146"/>
      <c r="BX69" s="146"/>
      <c r="BY69" s="146"/>
      <c r="BZ69" s="146"/>
      <c r="CA69" s="146"/>
      <c r="CB69" s="146"/>
      <c r="CC69" s="146"/>
      <c r="CD69" s="146"/>
      <c r="CE69" s="146"/>
      <c r="CF69" s="146"/>
      <c r="CG69" s="149"/>
      <c r="CH69" s="146"/>
      <c r="DE69" s="94" t="e">
        <f t="shared" si="58"/>
        <v>#VALUE!</v>
      </c>
      <c r="DF69" s="94" t="e">
        <f t="shared" si="58"/>
        <v>#VALUE!</v>
      </c>
      <c r="DG69" s="94" t="e">
        <f t="shared" si="58"/>
        <v>#VALUE!</v>
      </c>
      <c r="DH69" s="94" t="e">
        <f t="shared" si="58"/>
        <v>#VALUE!</v>
      </c>
      <c r="DI69" s="94" t="e">
        <f t="shared" si="58"/>
        <v>#VALUE!</v>
      </c>
    </row>
    <row r="70" spans="1:113" ht="18" x14ac:dyDescent="0.2">
      <c r="A70" s="110"/>
      <c r="BF70" s="604"/>
      <c r="BP70" s="146"/>
      <c r="BQ70" s="146"/>
      <c r="BR70" s="146"/>
      <c r="BS70" s="146"/>
      <c r="BT70" s="146"/>
      <c r="BU70" s="146"/>
      <c r="BV70" s="146"/>
      <c r="BW70" s="146"/>
      <c r="BX70" s="146"/>
      <c r="BY70" s="146"/>
      <c r="BZ70" s="146"/>
      <c r="CA70" s="146"/>
      <c r="CB70" s="146"/>
      <c r="CC70" s="146"/>
      <c r="CD70" s="146"/>
      <c r="CE70" s="146"/>
      <c r="CF70" s="146"/>
      <c r="CG70" s="149"/>
      <c r="CH70" s="146"/>
      <c r="DE70" s="94" t="e">
        <f t="shared" si="58"/>
        <v>#VALUE!</v>
      </c>
      <c r="DF70" s="94" t="e">
        <f t="shared" si="58"/>
        <v>#VALUE!</v>
      </c>
      <c r="DG70" s="94" t="e">
        <f t="shared" si="58"/>
        <v>#VALUE!</v>
      </c>
      <c r="DH70" s="94" t="e">
        <f t="shared" si="58"/>
        <v>#VALUE!</v>
      </c>
      <c r="DI70" s="94" t="e">
        <f t="shared" si="58"/>
        <v>#VALUE!</v>
      </c>
    </row>
    <row r="71" spans="1:113" ht="18" x14ac:dyDescent="0.2">
      <c r="A71" s="110"/>
      <c r="BF71" s="604"/>
      <c r="BP71" s="146"/>
      <c r="BQ71" s="146"/>
      <c r="BR71" s="146"/>
      <c r="BS71" s="146"/>
      <c r="BT71" s="146"/>
      <c r="BU71" s="146"/>
      <c r="BV71" s="146"/>
      <c r="BW71" s="146"/>
      <c r="BX71" s="146"/>
      <c r="BY71" s="146"/>
      <c r="BZ71" s="146"/>
      <c r="CA71" s="146"/>
      <c r="CB71" s="146"/>
      <c r="CC71" s="146"/>
      <c r="CD71" s="146"/>
      <c r="CE71" s="146"/>
      <c r="CF71" s="146"/>
      <c r="CG71" s="149"/>
      <c r="CH71" s="146"/>
      <c r="DE71" s="94" t="e">
        <f t="shared" si="58"/>
        <v>#VALUE!</v>
      </c>
      <c r="DF71" s="94" t="e">
        <f t="shared" si="58"/>
        <v>#VALUE!</v>
      </c>
      <c r="DG71" s="94" t="e">
        <f t="shared" si="58"/>
        <v>#VALUE!</v>
      </c>
      <c r="DH71" s="94" t="e">
        <f t="shared" si="58"/>
        <v>#VALUE!</v>
      </c>
      <c r="DI71" s="94" t="e">
        <f t="shared" si="58"/>
        <v>#VALUE!</v>
      </c>
    </row>
    <row r="72" spans="1:113" ht="18" x14ac:dyDescent="0.2">
      <c r="A72" s="110"/>
      <c r="BF72" s="604"/>
      <c r="BP72" s="146"/>
      <c r="BQ72" s="146"/>
      <c r="BR72" s="146"/>
      <c r="BS72" s="146"/>
      <c r="BT72" s="146"/>
      <c r="BU72" s="146"/>
      <c r="BV72" s="146"/>
      <c r="BW72" s="146"/>
      <c r="BX72" s="146"/>
      <c r="BY72" s="146"/>
      <c r="BZ72" s="146"/>
      <c r="CA72" s="146"/>
      <c r="CB72" s="146"/>
      <c r="CC72" s="146"/>
      <c r="CD72" s="146"/>
      <c r="CE72" s="146"/>
      <c r="CF72" s="146"/>
      <c r="CG72" s="149"/>
      <c r="CH72" s="146"/>
      <c r="DE72" s="94" t="e">
        <f t="shared" si="58"/>
        <v>#VALUE!</v>
      </c>
      <c r="DF72" s="94" t="e">
        <f t="shared" si="58"/>
        <v>#VALUE!</v>
      </c>
      <c r="DG72" s="94" t="e">
        <f t="shared" si="58"/>
        <v>#VALUE!</v>
      </c>
      <c r="DH72" s="94" t="e">
        <f t="shared" si="58"/>
        <v>#VALUE!</v>
      </c>
      <c r="DI72" s="94" t="e">
        <f t="shared" si="58"/>
        <v>#VALUE!</v>
      </c>
    </row>
    <row r="73" spans="1:113" ht="18" x14ac:dyDescent="0.2">
      <c r="A73" s="110"/>
      <c r="BF73" s="604"/>
      <c r="BP73" s="146"/>
      <c r="BQ73" s="146"/>
      <c r="BR73" s="146"/>
      <c r="BS73" s="146"/>
      <c r="BT73" s="146"/>
      <c r="BU73" s="146"/>
      <c r="BV73" s="146"/>
      <c r="BW73" s="146"/>
      <c r="BX73" s="146"/>
      <c r="BY73" s="146"/>
      <c r="BZ73" s="146"/>
      <c r="CA73" s="146"/>
      <c r="CB73" s="146"/>
      <c r="CC73" s="146"/>
      <c r="CD73" s="146"/>
      <c r="CE73" s="146"/>
      <c r="CF73" s="146"/>
      <c r="CG73" s="149"/>
      <c r="CH73" s="146"/>
      <c r="DE73" s="94" t="e">
        <f t="shared" si="58"/>
        <v>#VALUE!</v>
      </c>
      <c r="DF73" s="94" t="e">
        <f t="shared" si="58"/>
        <v>#VALUE!</v>
      </c>
      <c r="DG73" s="94" t="e">
        <f t="shared" si="58"/>
        <v>#VALUE!</v>
      </c>
      <c r="DH73" s="94" t="e">
        <f t="shared" si="58"/>
        <v>#VALUE!</v>
      </c>
      <c r="DI73" s="94" t="e">
        <f t="shared" si="58"/>
        <v>#VALUE!</v>
      </c>
    </row>
    <row r="74" spans="1:113" ht="18" x14ac:dyDescent="0.2">
      <c r="A74" s="110"/>
      <c r="BF74" s="604"/>
      <c r="BP74" s="146"/>
      <c r="BQ74" s="146"/>
      <c r="BR74" s="146"/>
      <c r="BS74" s="146"/>
      <c r="BT74" s="146"/>
      <c r="BU74" s="146"/>
      <c r="BV74" s="146"/>
      <c r="BW74" s="146"/>
      <c r="BX74" s="146"/>
      <c r="BY74" s="146"/>
      <c r="BZ74" s="146"/>
      <c r="CA74" s="146"/>
      <c r="CB74" s="146"/>
      <c r="CC74" s="146"/>
      <c r="CD74" s="146"/>
      <c r="CE74" s="146"/>
      <c r="CF74" s="146"/>
      <c r="CG74" s="149"/>
      <c r="CH74" s="146"/>
      <c r="DE74" s="94" t="e">
        <f t="shared" si="58"/>
        <v>#VALUE!</v>
      </c>
      <c r="DF74" s="94" t="e">
        <f t="shared" si="58"/>
        <v>#VALUE!</v>
      </c>
      <c r="DG74" s="94" t="e">
        <f t="shared" si="58"/>
        <v>#VALUE!</v>
      </c>
      <c r="DH74" s="94" t="e">
        <f t="shared" si="58"/>
        <v>#VALUE!</v>
      </c>
      <c r="DI74" s="94" t="e">
        <f t="shared" si="58"/>
        <v>#VALUE!</v>
      </c>
    </row>
    <row r="75" spans="1:113" ht="18" x14ac:dyDescent="0.2">
      <c r="A75" s="110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  <c r="AK75" s="108"/>
      <c r="AL75" s="108"/>
      <c r="AM75" s="108"/>
      <c r="AN75" s="108"/>
      <c r="AO75" s="108"/>
      <c r="AP75" s="108"/>
      <c r="AQ75" s="108"/>
      <c r="AR75" s="108"/>
      <c r="AS75" s="108"/>
      <c r="AT75" s="108"/>
      <c r="AU75" s="108"/>
      <c r="AV75" s="108"/>
      <c r="AW75" s="108"/>
      <c r="AX75" s="108"/>
      <c r="AY75" s="108"/>
      <c r="AZ75" s="108"/>
      <c r="BA75" s="108"/>
      <c r="BB75" s="108"/>
      <c r="BC75" s="108"/>
      <c r="BD75" s="108"/>
      <c r="BE75" s="108"/>
      <c r="BF75" s="146"/>
      <c r="BG75" s="108"/>
      <c r="BH75" s="108"/>
      <c r="BI75" s="108"/>
      <c r="BJ75" s="108"/>
      <c r="BK75" s="108"/>
      <c r="BL75" s="108"/>
      <c r="BM75" s="108"/>
      <c r="BN75" s="108"/>
      <c r="BO75" s="108"/>
      <c r="BP75" s="146"/>
      <c r="BQ75" s="146"/>
      <c r="BR75" s="146"/>
      <c r="BS75" s="146"/>
      <c r="BT75" s="146"/>
      <c r="BU75" s="146"/>
      <c r="BV75" s="146"/>
      <c r="BW75" s="146"/>
      <c r="BX75" s="146"/>
      <c r="BY75" s="146"/>
      <c r="BZ75" s="146"/>
      <c r="CA75" s="146"/>
      <c r="CB75" s="146"/>
      <c r="CC75" s="146"/>
      <c r="CD75" s="146"/>
      <c r="CE75" s="146"/>
      <c r="CF75" s="146"/>
      <c r="CG75" s="149"/>
      <c r="CH75" s="146"/>
      <c r="DE75" s="94" t="e">
        <f t="shared" si="58"/>
        <v>#VALUE!</v>
      </c>
      <c r="DF75" s="94" t="e">
        <f t="shared" si="58"/>
        <v>#VALUE!</v>
      </c>
      <c r="DG75" s="94" t="e">
        <f t="shared" si="58"/>
        <v>#VALUE!</v>
      </c>
      <c r="DH75" s="94" t="e">
        <f t="shared" si="58"/>
        <v>#VALUE!</v>
      </c>
      <c r="DI75" s="94" t="e">
        <f t="shared" si="58"/>
        <v>#VALUE!</v>
      </c>
    </row>
    <row r="76" spans="1:113" ht="18" x14ac:dyDescent="0.2">
      <c r="A76" s="972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  <c r="AK76" s="108"/>
      <c r="AL76" s="108"/>
      <c r="AM76" s="108"/>
      <c r="AN76" s="108"/>
      <c r="AO76" s="108"/>
      <c r="AP76" s="108"/>
      <c r="AQ76" s="108"/>
      <c r="AR76" s="108"/>
      <c r="AS76" s="108"/>
      <c r="AT76" s="108"/>
      <c r="AU76" s="108"/>
      <c r="AV76" s="108"/>
      <c r="AW76" s="108"/>
      <c r="AX76" s="108"/>
      <c r="AY76" s="108"/>
      <c r="AZ76" s="108"/>
      <c r="BA76" s="108"/>
      <c r="BB76" s="108"/>
      <c r="BC76" s="108"/>
      <c r="BD76" s="108"/>
      <c r="BE76" s="108"/>
      <c r="BF76" s="146"/>
      <c r="BG76" s="108"/>
      <c r="BH76" s="108"/>
      <c r="BI76" s="108"/>
      <c r="BJ76" s="108"/>
      <c r="BK76" s="108"/>
      <c r="BL76" s="108"/>
      <c r="BM76" s="108"/>
      <c r="BN76" s="108"/>
      <c r="BO76" s="108"/>
      <c r="BP76" s="146"/>
      <c r="BQ76" s="146"/>
      <c r="BR76" s="146"/>
      <c r="BS76" s="146"/>
      <c r="BT76" s="146"/>
      <c r="BU76" s="146"/>
      <c r="BV76" s="146"/>
      <c r="BW76" s="146"/>
      <c r="BX76" s="146"/>
      <c r="BY76" s="146"/>
      <c r="BZ76" s="146"/>
      <c r="CA76" s="146"/>
      <c r="CB76" s="146"/>
      <c r="CC76" s="146"/>
      <c r="CD76" s="146"/>
      <c r="CE76" s="146"/>
      <c r="CF76" s="146"/>
      <c r="CG76" s="149"/>
      <c r="CH76" s="146"/>
      <c r="DE76" s="94" t="e">
        <f t="shared" si="58"/>
        <v>#VALUE!</v>
      </c>
      <c r="DF76" s="94" t="e">
        <f t="shared" si="58"/>
        <v>#VALUE!</v>
      </c>
      <c r="DG76" s="94" t="e">
        <f t="shared" si="58"/>
        <v>#VALUE!</v>
      </c>
      <c r="DH76" s="94" t="e">
        <f t="shared" si="58"/>
        <v>#VALUE!</v>
      </c>
      <c r="DI76" s="94" t="e">
        <f t="shared" si="58"/>
        <v>#VALUE!</v>
      </c>
    </row>
    <row r="77" spans="1:113" ht="18" x14ac:dyDescent="0.2">
      <c r="A77" s="972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  <c r="AK77" s="108"/>
      <c r="AL77" s="108"/>
      <c r="AM77" s="108"/>
      <c r="AN77" s="108"/>
      <c r="AO77" s="108"/>
      <c r="AP77" s="108"/>
      <c r="AQ77" s="108"/>
      <c r="AR77" s="108"/>
      <c r="AS77" s="108"/>
      <c r="AT77" s="108"/>
      <c r="AU77" s="108"/>
      <c r="AV77" s="108"/>
      <c r="AW77" s="108"/>
      <c r="AX77" s="108"/>
      <c r="AY77" s="108"/>
      <c r="AZ77" s="108"/>
      <c r="BA77" s="108"/>
      <c r="BB77" s="108"/>
      <c r="BC77" s="108"/>
      <c r="BD77" s="108"/>
      <c r="BE77" s="108"/>
      <c r="BF77" s="146"/>
      <c r="BG77" s="108"/>
      <c r="BH77" s="108"/>
      <c r="BI77" s="108"/>
      <c r="BJ77" s="108"/>
      <c r="BK77" s="108"/>
      <c r="BL77" s="108"/>
      <c r="BM77" s="108"/>
      <c r="BN77" s="108"/>
      <c r="BO77" s="108"/>
      <c r="BP77" s="146"/>
      <c r="BQ77" s="146"/>
      <c r="BR77" s="146"/>
      <c r="BS77" s="146"/>
      <c r="BT77" s="146"/>
      <c r="BU77" s="146"/>
      <c r="BV77" s="146"/>
      <c r="BW77" s="146"/>
      <c r="BX77" s="146"/>
      <c r="BY77" s="146"/>
      <c r="BZ77" s="146"/>
      <c r="CA77" s="146"/>
      <c r="CB77" s="146"/>
      <c r="CC77" s="146"/>
      <c r="CD77" s="146"/>
      <c r="CE77" s="146"/>
      <c r="CF77" s="146"/>
      <c r="CG77" s="149"/>
      <c r="CH77" s="146"/>
      <c r="DE77" s="94" t="e">
        <f t="shared" si="58"/>
        <v>#VALUE!</v>
      </c>
      <c r="DF77" s="94" t="e">
        <f t="shared" si="58"/>
        <v>#VALUE!</v>
      </c>
      <c r="DG77" s="94" t="e">
        <f t="shared" si="58"/>
        <v>#VALUE!</v>
      </c>
      <c r="DH77" s="94" t="e">
        <f t="shared" si="58"/>
        <v>#VALUE!</v>
      </c>
      <c r="DI77" s="94" t="e">
        <f t="shared" si="58"/>
        <v>#VALUE!</v>
      </c>
    </row>
    <row r="78" spans="1:113" ht="18" x14ac:dyDescent="0.2">
      <c r="A78" s="110"/>
      <c r="BF78" s="604"/>
      <c r="BP78" s="146"/>
      <c r="BQ78" s="146"/>
      <c r="BR78" s="146"/>
      <c r="BS78" s="146"/>
      <c r="BT78" s="146"/>
      <c r="BU78" s="146"/>
      <c r="BV78" s="146"/>
      <c r="BW78" s="146"/>
      <c r="BX78" s="146"/>
      <c r="BY78" s="146"/>
      <c r="BZ78" s="146"/>
      <c r="CA78" s="146"/>
      <c r="CB78" s="146"/>
      <c r="CC78" s="146"/>
      <c r="CD78" s="146"/>
      <c r="CE78" s="146"/>
      <c r="CF78" s="146"/>
      <c r="CG78" s="149"/>
      <c r="CH78" s="146"/>
      <c r="DE78" s="94" t="e">
        <f t="shared" ref="DE78:DI87" si="59">SUM(IF($F78:$CM78=нет,0,100)*$F$11:$CM$11*($F$108:$CM$108=DE$4)/100*($F$110:$CM$143*($B$110:$B$143=$B78)*($A$110:$A$143=$A$108)))</f>
        <v>#VALUE!</v>
      </c>
      <c r="DF78" s="94" t="e">
        <f t="shared" si="59"/>
        <v>#VALUE!</v>
      </c>
      <c r="DG78" s="94" t="e">
        <f t="shared" si="59"/>
        <v>#VALUE!</v>
      </c>
      <c r="DH78" s="94" t="e">
        <f t="shared" si="59"/>
        <v>#VALUE!</v>
      </c>
      <c r="DI78" s="94" t="e">
        <f t="shared" si="59"/>
        <v>#VALUE!</v>
      </c>
    </row>
    <row r="79" spans="1:113" ht="18" x14ac:dyDescent="0.2">
      <c r="A79" s="110"/>
      <c r="BF79" s="604"/>
      <c r="BP79" s="146"/>
      <c r="BQ79" s="146"/>
      <c r="BR79" s="146"/>
      <c r="BS79" s="146"/>
      <c r="BT79" s="146"/>
      <c r="BU79" s="146"/>
      <c r="BV79" s="146"/>
      <c r="BW79" s="146"/>
      <c r="BX79" s="146"/>
      <c r="BY79" s="146"/>
      <c r="BZ79" s="146"/>
      <c r="CA79" s="146"/>
      <c r="CB79" s="146"/>
      <c r="CC79" s="146"/>
      <c r="CD79" s="146"/>
      <c r="CE79" s="146"/>
      <c r="CF79" s="146"/>
      <c r="CG79" s="149"/>
      <c r="CH79" s="146"/>
      <c r="DE79" s="94" t="e">
        <f t="shared" si="59"/>
        <v>#VALUE!</v>
      </c>
      <c r="DF79" s="94" t="e">
        <f t="shared" si="59"/>
        <v>#VALUE!</v>
      </c>
      <c r="DG79" s="94" t="e">
        <f t="shared" si="59"/>
        <v>#VALUE!</v>
      </c>
      <c r="DH79" s="94" t="e">
        <f t="shared" si="59"/>
        <v>#VALUE!</v>
      </c>
      <c r="DI79" s="94" t="e">
        <f t="shared" si="59"/>
        <v>#VALUE!</v>
      </c>
    </row>
    <row r="80" spans="1:113" ht="18" x14ac:dyDescent="0.2">
      <c r="A80" s="110"/>
      <c r="BF80" s="604"/>
      <c r="BP80" s="146"/>
      <c r="BQ80" s="146"/>
      <c r="BR80" s="146"/>
      <c r="BS80" s="146"/>
      <c r="BT80" s="146"/>
      <c r="BU80" s="146"/>
      <c r="BV80" s="146"/>
      <c r="BW80" s="146"/>
      <c r="BX80" s="146"/>
      <c r="BY80" s="146"/>
      <c r="BZ80" s="146"/>
      <c r="CA80" s="146"/>
      <c r="CB80" s="146"/>
      <c r="CC80" s="146"/>
      <c r="CD80" s="146"/>
      <c r="CE80" s="146"/>
      <c r="CF80" s="146"/>
      <c r="CG80" s="149"/>
      <c r="CH80" s="146"/>
      <c r="DE80" s="94" t="e">
        <f t="shared" si="59"/>
        <v>#VALUE!</v>
      </c>
      <c r="DF80" s="94" t="e">
        <f t="shared" si="59"/>
        <v>#VALUE!</v>
      </c>
      <c r="DG80" s="94" t="e">
        <f t="shared" si="59"/>
        <v>#VALUE!</v>
      </c>
      <c r="DH80" s="94" t="e">
        <f t="shared" si="59"/>
        <v>#VALUE!</v>
      </c>
      <c r="DI80" s="94" t="e">
        <f t="shared" si="59"/>
        <v>#VALUE!</v>
      </c>
    </row>
    <row r="81" spans="1:113" ht="18" x14ac:dyDescent="0.2">
      <c r="A81" s="110"/>
      <c r="BF81" s="604"/>
      <c r="BP81" s="146"/>
      <c r="BQ81" s="146"/>
      <c r="BR81" s="146"/>
      <c r="BS81" s="146"/>
      <c r="BT81" s="146"/>
      <c r="BU81" s="146"/>
      <c r="BV81" s="146"/>
      <c r="BW81" s="146"/>
      <c r="BX81" s="146"/>
      <c r="BY81" s="146"/>
      <c r="BZ81" s="146"/>
      <c r="CA81" s="146"/>
      <c r="CB81" s="146"/>
      <c r="CC81" s="146"/>
      <c r="CD81" s="146"/>
      <c r="CE81" s="146"/>
      <c r="CF81" s="146"/>
      <c r="CG81" s="149"/>
      <c r="CH81" s="146"/>
      <c r="DE81" s="94" t="e">
        <f t="shared" si="59"/>
        <v>#VALUE!</v>
      </c>
      <c r="DF81" s="94" t="e">
        <f t="shared" si="59"/>
        <v>#VALUE!</v>
      </c>
      <c r="DG81" s="94" t="e">
        <f t="shared" si="59"/>
        <v>#VALUE!</v>
      </c>
      <c r="DH81" s="94" t="e">
        <f t="shared" si="59"/>
        <v>#VALUE!</v>
      </c>
      <c r="DI81" s="94" t="e">
        <f t="shared" si="59"/>
        <v>#VALUE!</v>
      </c>
    </row>
    <row r="82" spans="1:113" ht="18" x14ac:dyDescent="0.2">
      <c r="A82" s="110"/>
      <c r="BF82" s="604"/>
      <c r="BP82" s="146"/>
      <c r="BQ82" s="146"/>
      <c r="BR82" s="146"/>
      <c r="BS82" s="146"/>
      <c r="BT82" s="146"/>
      <c r="BU82" s="146"/>
      <c r="BV82" s="146"/>
      <c r="BW82" s="146"/>
      <c r="BX82" s="146"/>
      <c r="BY82" s="146"/>
      <c r="BZ82" s="146"/>
      <c r="CA82" s="146"/>
      <c r="CB82" s="146"/>
      <c r="CC82" s="146"/>
      <c r="CD82" s="146"/>
      <c r="CE82" s="146"/>
      <c r="CF82" s="146"/>
      <c r="CG82" s="149"/>
      <c r="CH82" s="146"/>
      <c r="DE82" s="94" t="e">
        <f t="shared" si="59"/>
        <v>#VALUE!</v>
      </c>
      <c r="DF82" s="94" t="e">
        <f t="shared" si="59"/>
        <v>#VALUE!</v>
      </c>
      <c r="DG82" s="94" t="e">
        <f t="shared" si="59"/>
        <v>#VALUE!</v>
      </c>
      <c r="DH82" s="94" t="e">
        <f t="shared" si="59"/>
        <v>#VALUE!</v>
      </c>
      <c r="DI82" s="94" t="e">
        <f t="shared" si="59"/>
        <v>#VALUE!</v>
      </c>
    </row>
    <row r="83" spans="1:113" ht="18" x14ac:dyDescent="0.2">
      <c r="A83" s="110"/>
      <c r="BF83" s="604"/>
      <c r="BP83" s="146"/>
      <c r="BQ83" s="146"/>
      <c r="BR83" s="146"/>
      <c r="BS83" s="146"/>
      <c r="BT83" s="146"/>
      <c r="BU83" s="146"/>
      <c r="BV83" s="146"/>
      <c r="BW83" s="146"/>
      <c r="BX83" s="146"/>
      <c r="BY83" s="146"/>
      <c r="BZ83" s="146"/>
      <c r="CA83" s="146"/>
      <c r="CB83" s="146"/>
      <c r="CC83" s="146"/>
      <c r="CD83" s="146"/>
      <c r="CE83" s="146"/>
      <c r="CF83" s="146"/>
      <c r="CG83" s="149"/>
      <c r="CH83" s="146"/>
      <c r="DE83" s="94" t="e">
        <f t="shared" si="59"/>
        <v>#VALUE!</v>
      </c>
      <c r="DF83" s="94" t="e">
        <f t="shared" si="59"/>
        <v>#VALUE!</v>
      </c>
      <c r="DG83" s="94" t="e">
        <f t="shared" si="59"/>
        <v>#VALUE!</v>
      </c>
      <c r="DH83" s="94" t="e">
        <f t="shared" si="59"/>
        <v>#VALUE!</v>
      </c>
      <c r="DI83" s="94" t="e">
        <f t="shared" si="59"/>
        <v>#VALUE!</v>
      </c>
    </row>
    <row r="84" spans="1:113" ht="18" x14ac:dyDescent="0.2">
      <c r="A84" s="110"/>
      <c r="BF84" s="604"/>
      <c r="BP84" s="146"/>
      <c r="BQ84" s="146"/>
      <c r="BR84" s="146"/>
      <c r="BS84" s="146"/>
      <c r="BT84" s="146"/>
      <c r="BU84" s="146"/>
      <c r="BV84" s="146"/>
      <c r="BW84" s="146"/>
      <c r="BX84" s="146"/>
      <c r="BY84" s="146"/>
      <c r="BZ84" s="146"/>
      <c r="CA84" s="146"/>
      <c r="CB84" s="146"/>
      <c r="CC84" s="146"/>
      <c r="CD84" s="146"/>
      <c r="CE84" s="146"/>
      <c r="CF84" s="146"/>
      <c r="CG84" s="149"/>
      <c r="CH84" s="146"/>
      <c r="DE84" s="94" t="e">
        <f t="shared" si="59"/>
        <v>#VALUE!</v>
      </c>
      <c r="DF84" s="94" t="e">
        <f t="shared" si="59"/>
        <v>#VALUE!</v>
      </c>
      <c r="DG84" s="94" t="e">
        <f t="shared" si="59"/>
        <v>#VALUE!</v>
      </c>
      <c r="DH84" s="94" t="e">
        <f t="shared" si="59"/>
        <v>#VALUE!</v>
      </c>
      <c r="DI84" s="94" t="e">
        <f t="shared" si="59"/>
        <v>#VALUE!</v>
      </c>
    </row>
    <row r="85" spans="1:113" ht="18" x14ac:dyDescent="0.2">
      <c r="A85" s="110"/>
      <c r="BF85" s="604"/>
      <c r="BP85" s="146"/>
      <c r="BQ85" s="146"/>
      <c r="BR85" s="146"/>
      <c r="BS85" s="146"/>
      <c r="BT85" s="146"/>
      <c r="BU85" s="146"/>
      <c r="BV85" s="146"/>
      <c r="BW85" s="146"/>
      <c r="BX85" s="146"/>
      <c r="BY85" s="146"/>
      <c r="BZ85" s="146"/>
      <c r="CA85" s="146"/>
      <c r="CB85" s="146"/>
      <c r="CC85" s="146"/>
      <c r="CD85" s="146"/>
      <c r="CE85" s="146"/>
      <c r="CF85" s="146"/>
      <c r="CG85" s="149"/>
      <c r="CH85" s="146"/>
      <c r="DE85" s="94" t="e">
        <f t="shared" si="59"/>
        <v>#VALUE!</v>
      </c>
      <c r="DF85" s="94" t="e">
        <f t="shared" si="59"/>
        <v>#VALUE!</v>
      </c>
      <c r="DG85" s="94" t="e">
        <f t="shared" si="59"/>
        <v>#VALUE!</v>
      </c>
      <c r="DH85" s="94" t="e">
        <f t="shared" si="59"/>
        <v>#VALUE!</v>
      </c>
      <c r="DI85" s="94" t="e">
        <f t="shared" si="59"/>
        <v>#VALUE!</v>
      </c>
    </row>
    <row r="86" spans="1:113" ht="18" x14ac:dyDescent="0.2">
      <c r="A86" s="110"/>
      <c r="BF86" s="604"/>
      <c r="BP86" s="146"/>
      <c r="BQ86" s="146"/>
      <c r="BR86" s="146"/>
      <c r="BS86" s="146"/>
      <c r="BT86" s="146"/>
      <c r="BU86" s="146"/>
      <c r="BV86" s="146"/>
      <c r="BW86" s="146"/>
      <c r="BX86" s="146"/>
      <c r="BY86" s="146"/>
      <c r="BZ86" s="146"/>
      <c r="CA86" s="146"/>
      <c r="CB86" s="146"/>
      <c r="CC86" s="146"/>
      <c r="CD86" s="146"/>
      <c r="CE86" s="146"/>
      <c r="CF86" s="146"/>
      <c r="CG86" s="149"/>
      <c r="CH86" s="146"/>
      <c r="DE86" s="94" t="e">
        <f t="shared" si="59"/>
        <v>#VALUE!</v>
      </c>
      <c r="DF86" s="94" t="e">
        <f t="shared" si="59"/>
        <v>#VALUE!</v>
      </c>
      <c r="DG86" s="94" t="e">
        <f t="shared" si="59"/>
        <v>#VALUE!</v>
      </c>
      <c r="DH86" s="94" t="e">
        <f t="shared" si="59"/>
        <v>#VALUE!</v>
      </c>
      <c r="DI86" s="94" t="e">
        <f t="shared" si="59"/>
        <v>#VALUE!</v>
      </c>
    </row>
    <row r="87" spans="1:113" ht="18" x14ac:dyDescent="0.2">
      <c r="A87" s="110"/>
      <c r="BF87" s="604"/>
      <c r="BP87" s="146"/>
      <c r="BQ87" s="146"/>
      <c r="BR87" s="146"/>
      <c r="BS87" s="146"/>
      <c r="BT87" s="146"/>
      <c r="BU87" s="146"/>
      <c r="BV87" s="146"/>
      <c r="BW87" s="146"/>
      <c r="BX87" s="146"/>
      <c r="BY87" s="146"/>
      <c r="BZ87" s="146"/>
      <c r="CA87" s="146"/>
      <c r="CB87" s="146"/>
      <c r="CC87" s="146"/>
      <c r="CD87" s="146"/>
      <c r="CE87" s="146"/>
      <c r="CF87" s="146"/>
      <c r="CG87" s="149"/>
      <c r="CH87" s="146"/>
      <c r="DE87" s="94" t="e">
        <f t="shared" si="59"/>
        <v>#VALUE!</v>
      </c>
      <c r="DF87" s="94" t="e">
        <f t="shared" si="59"/>
        <v>#VALUE!</v>
      </c>
      <c r="DG87" s="94" t="e">
        <f t="shared" si="59"/>
        <v>#VALUE!</v>
      </c>
      <c r="DH87" s="94" t="e">
        <f t="shared" si="59"/>
        <v>#VALUE!</v>
      </c>
      <c r="DI87" s="94" t="e">
        <f t="shared" si="59"/>
        <v>#VALUE!</v>
      </c>
    </row>
    <row r="88" spans="1:113" ht="18" x14ac:dyDescent="0.2">
      <c r="A88" s="110"/>
      <c r="BF88" s="604"/>
      <c r="BP88" s="146"/>
      <c r="BQ88" s="146"/>
      <c r="BR88" s="146"/>
      <c r="BS88" s="146"/>
      <c r="BT88" s="146"/>
      <c r="BU88" s="146"/>
      <c r="BV88" s="146"/>
      <c r="BW88" s="146"/>
      <c r="BX88" s="146"/>
      <c r="BY88" s="146"/>
      <c r="BZ88" s="146"/>
      <c r="CA88" s="146"/>
      <c r="CB88" s="146"/>
      <c r="CC88" s="146"/>
      <c r="CD88" s="146"/>
      <c r="CE88" s="146"/>
      <c r="CF88" s="146"/>
      <c r="CG88" s="149"/>
      <c r="CH88" s="146"/>
      <c r="DE88" s="94" t="e">
        <f t="shared" ref="DE88:DI97" si="60">SUM(IF($F88:$CM88=нет,0,100)*$F$11:$CM$11*($F$108:$CM$108=DE$4)/100*($F$110:$CM$143*($B$110:$B$143=$B88)*($A$110:$A$143=$A$108)))</f>
        <v>#VALUE!</v>
      </c>
      <c r="DF88" s="94" t="e">
        <f t="shared" si="60"/>
        <v>#VALUE!</v>
      </c>
      <c r="DG88" s="94" t="e">
        <f t="shared" si="60"/>
        <v>#VALUE!</v>
      </c>
      <c r="DH88" s="94" t="e">
        <f t="shared" si="60"/>
        <v>#VALUE!</v>
      </c>
      <c r="DI88" s="94" t="e">
        <f t="shared" si="60"/>
        <v>#VALUE!</v>
      </c>
    </row>
    <row r="89" spans="1:113" ht="18" x14ac:dyDescent="0.2">
      <c r="A89" s="110"/>
      <c r="BF89" s="604"/>
      <c r="BP89" s="146"/>
      <c r="BQ89" s="146"/>
      <c r="BR89" s="146"/>
      <c r="BS89" s="146"/>
      <c r="BT89" s="146"/>
      <c r="BU89" s="146"/>
      <c r="BV89" s="146"/>
      <c r="BW89" s="146"/>
      <c r="BX89" s="146"/>
      <c r="BY89" s="146"/>
      <c r="BZ89" s="146"/>
      <c r="CA89" s="146"/>
      <c r="CB89" s="146"/>
      <c r="CC89" s="146"/>
      <c r="CD89" s="146"/>
      <c r="CE89" s="146"/>
      <c r="CF89" s="146"/>
      <c r="CG89" s="149"/>
      <c r="CH89" s="146"/>
      <c r="DE89" s="94" t="e">
        <f t="shared" si="60"/>
        <v>#VALUE!</v>
      </c>
      <c r="DF89" s="94" t="e">
        <f t="shared" si="60"/>
        <v>#VALUE!</v>
      </c>
      <c r="DG89" s="94" t="e">
        <f t="shared" si="60"/>
        <v>#VALUE!</v>
      </c>
      <c r="DH89" s="94" t="e">
        <f t="shared" si="60"/>
        <v>#VALUE!</v>
      </c>
      <c r="DI89" s="94" t="e">
        <f t="shared" si="60"/>
        <v>#VALUE!</v>
      </c>
    </row>
    <row r="90" spans="1:113" ht="18" x14ac:dyDescent="0.2">
      <c r="A90" s="110"/>
      <c r="BF90" s="604"/>
      <c r="BP90" s="146"/>
      <c r="BQ90" s="146"/>
      <c r="BR90" s="146"/>
      <c r="BS90" s="146"/>
      <c r="BT90" s="146"/>
      <c r="BU90" s="146"/>
      <c r="BV90" s="146"/>
      <c r="BW90" s="146"/>
      <c r="BX90" s="146"/>
      <c r="BY90" s="146"/>
      <c r="BZ90" s="146"/>
      <c r="CA90" s="146"/>
      <c r="CB90" s="146"/>
      <c r="CC90" s="146"/>
      <c r="CD90" s="146"/>
      <c r="CE90" s="146"/>
      <c r="CF90" s="146"/>
      <c r="CG90" s="149"/>
      <c r="CH90" s="146"/>
      <c r="DE90" s="94" t="e">
        <f t="shared" si="60"/>
        <v>#VALUE!</v>
      </c>
      <c r="DF90" s="94" t="e">
        <f t="shared" si="60"/>
        <v>#VALUE!</v>
      </c>
      <c r="DG90" s="94" t="e">
        <f t="shared" si="60"/>
        <v>#VALUE!</v>
      </c>
      <c r="DH90" s="94" t="e">
        <f t="shared" si="60"/>
        <v>#VALUE!</v>
      </c>
      <c r="DI90" s="94" t="e">
        <f t="shared" si="60"/>
        <v>#VALUE!</v>
      </c>
    </row>
    <row r="91" spans="1:113" ht="18" x14ac:dyDescent="0.2">
      <c r="A91" s="110"/>
      <c r="BF91" s="604"/>
      <c r="BP91" s="146"/>
      <c r="BQ91" s="146"/>
      <c r="BR91" s="146"/>
      <c r="BS91" s="146"/>
      <c r="BT91" s="146"/>
      <c r="BU91" s="146"/>
      <c r="BV91" s="146"/>
      <c r="BW91" s="146"/>
      <c r="BX91" s="146"/>
      <c r="BY91" s="146"/>
      <c r="BZ91" s="146"/>
      <c r="CA91" s="146"/>
      <c r="CB91" s="146"/>
      <c r="CC91" s="146"/>
      <c r="CD91" s="146"/>
      <c r="CE91" s="146"/>
      <c r="CF91" s="146"/>
      <c r="CG91" s="149"/>
      <c r="CH91" s="146"/>
      <c r="DE91" s="94" t="e">
        <f t="shared" si="60"/>
        <v>#VALUE!</v>
      </c>
      <c r="DF91" s="94" t="e">
        <f t="shared" si="60"/>
        <v>#VALUE!</v>
      </c>
      <c r="DG91" s="94" t="e">
        <f t="shared" si="60"/>
        <v>#VALUE!</v>
      </c>
      <c r="DH91" s="94" t="e">
        <f t="shared" si="60"/>
        <v>#VALUE!</v>
      </c>
      <c r="DI91" s="94" t="e">
        <f t="shared" si="60"/>
        <v>#VALUE!</v>
      </c>
    </row>
    <row r="92" spans="1:113" ht="18" x14ac:dyDescent="0.2">
      <c r="A92" s="110"/>
      <c r="BF92" s="604"/>
      <c r="BP92" s="146"/>
      <c r="BQ92" s="146"/>
      <c r="BR92" s="146"/>
      <c r="BS92" s="146"/>
      <c r="BT92" s="146"/>
      <c r="BU92" s="146"/>
      <c r="BV92" s="146"/>
      <c r="BW92" s="146"/>
      <c r="BX92" s="146"/>
      <c r="BY92" s="146"/>
      <c r="BZ92" s="146"/>
      <c r="CA92" s="146"/>
      <c r="CB92" s="146"/>
      <c r="CC92" s="146"/>
      <c r="CD92" s="146"/>
      <c r="CE92" s="146"/>
      <c r="CF92" s="146"/>
      <c r="CG92" s="149"/>
      <c r="CH92" s="146"/>
      <c r="DE92" s="94" t="e">
        <f t="shared" si="60"/>
        <v>#VALUE!</v>
      </c>
      <c r="DF92" s="94" t="e">
        <f t="shared" si="60"/>
        <v>#VALUE!</v>
      </c>
      <c r="DG92" s="94" t="e">
        <f t="shared" si="60"/>
        <v>#VALUE!</v>
      </c>
      <c r="DH92" s="94" t="e">
        <f t="shared" si="60"/>
        <v>#VALUE!</v>
      </c>
      <c r="DI92" s="94" t="e">
        <f t="shared" si="60"/>
        <v>#VALUE!</v>
      </c>
    </row>
    <row r="93" spans="1:113" ht="18" x14ac:dyDescent="0.2">
      <c r="A93" s="110"/>
      <c r="BF93" s="604"/>
      <c r="BP93" s="146"/>
      <c r="BQ93" s="146"/>
      <c r="BR93" s="146"/>
      <c r="BS93" s="146"/>
      <c r="BT93" s="146"/>
      <c r="BU93" s="146"/>
      <c r="BV93" s="146"/>
      <c r="BW93" s="146"/>
      <c r="BX93" s="146"/>
      <c r="BY93" s="146"/>
      <c r="BZ93" s="146"/>
      <c r="CA93" s="146"/>
      <c r="CB93" s="146"/>
      <c r="CC93" s="146"/>
      <c r="CD93" s="146"/>
      <c r="CE93" s="146"/>
      <c r="CF93" s="146"/>
      <c r="CG93" s="149"/>
      <c r="CH93" s="146"/>
      <c r="DE93" s="94" t="e">
        <f t="shared" si="60"/>
        <v>#VALUE!</v>
      </c>
      <c r="DF93" s="94" t="e">
        <f t="shared" si="60"/>
        <v>#VALUE!</v>
      </c>
      <c r="DG93" s="94" t="e">
        <f t="shared" si="60"/>
        <v>#VALUE!</v>
      </c>
      <c r="DH93" s="94" t="e">
        <f t="shared" si="60"/>
        <v>#VALUE!</v>
      </c>
      <c r="DI93" s="94" t="e">
        <f t="shared" si="60"/>
        <v>#VALUE!</v>
      </c>
    </row>
    <row r="94" spans="1:113" ht="18" x14ac:dyDescent="0.2">
      <c r="A94" s="110"/>
      <c r="BF94" s="604"/>
      <c r="BP94" s="146"/>
      <c r="BQ94" s="146"/>
      <c r="BR94" s="146"/>
      <c r="BS94" s="146"/>
      <c r="BT94" s="146"/>
      <c r="BU94" s="146"/>
      <c r="BV94" s="146"/>
      <c r="BW94" s="146"/>
      <c r="BX94" s="146"/>
      <c r="BY94" s="146"/>
      <c r="BZ94" s="146"/>
      <c r="CA94" s="146"/>
      <c r="CB94" s="146"/>
      <c r="CC94" s="146"/>
      <c r="CD94" s="146"/>
      <c r="CE94" s="146"/>
      <c r="CF94" s="146"/>
      <c r="CG94" s="149"/>
      <c r="CH94" s="146"/>
      <c r="DE94" s="94" t="e">
        <f t="shared" si="60"/>
        <v>#VALUE!</v>
      </c>
      <c r="DF94" s="94" t="e">
        <f t="shared" si="60"/>
        <v>#VALUE!</v>
      </c>
      <c r="DG94" s="94" t="e">
        <f t="shared" si="60"/>
        <v>#VALUE!</v>
      </c>
      <c r="DH94" s="94" t="e">
        <f t="shared" si="60"/>
        <v>#VALUE!</v>
      </c>
      <c r="DI94" s="94" t="e">
        <f t="shared" si="60"/>
        <v>#VALUE!</v>
      </c>
    </row>
    <row r="95" spans="1:113" x14ac:dyDescent="0.2">
      <c r="BF95" s="604"/>
      <c r="BP95" s="146"/>
      <c r="BQ95" s="146"/>
      <c r="BR95" s="146"/>
      <c r="BS95" s="146"/>
      <c r="BT95" s="146"/>
      <c r="BU95" s="146"/>
      <c r="BV95" s="146"/>
      <c r="BW95" s="146"/>
      <c r="BX95" s="146"/>
      <c r="BY95" s="146"/>
      <c r="BZ95" s="146"/>
      <c r="CA95" s="146"/>
      <c r="CB95" s="146"/>
      <c r="CC95" s="146"/>
      <c r="CD95" s="146"/>
      <c r="CE95" s="146"/>
      <c r="CF95" s="146"/>
      <c r="CG95" s="149"/>
      <c r="CH95" s="146"/>
      <c r="DE95" s="94" t="e">
        <f t="shared" si="60"/>
        <v>#VALUE!</v>
      </c>
      <c r="DF95" s="94" t="e">
        <f t="shared" si="60"/>
        <v>#VALUE!</v>
      </c>
      <c r="DG95" s="94" t="e">
        <f t="shared" si="60"/>
        <v>#VALUE!</v>
      </c>
      <c r="DH95" s="94" t="e">
        <f t="shared" si="60"/>
        <v>#VALUE!</v>
      </c>
      <c r="DI95" s="94" t="e">
        <f t="shared" si="60"/>
        <v>#VALUE!</v>
      </c>
    </row>
    <row r="96" spans="1:113" x14ac:dyDescent="0.2">
      <c r="BF96" s="604"/>
      <c r="BP96" s="146"/>
      <c r="BQ96" s="146"/>
      <c r="BR96" s="146"/>
      <c r="BS96" s="146"/>
      <c r="BT96" s="146"/>
      <c r="BU96" s="146"/>
      <c r="BV96" s="146"/>
      <c r="BW96" s="146"/>
      <c r="BX96" s="146"/>
      <c r="BY96" s="146"/>
      <c r="BZ96" s="146"/>
      <c r="CA96" s="146"/>
      <c r="CB96" s="146"/>
      <c r="CC96" s="146"/>
      <c r="CD96" s="146"/>
      <c r="CE96" s="146"/>
      <c r="CF96" s="146"/>
      <c r="CG96" s="149"/>
      <c r="CH96" s="146"/>
      <c r="DE96" s="94" t="e">
        <f t="shared" si="60"/>
        <v>#VALUE!</v>
      </c>
      <c r="DF96" s="94" t="e">
        <f t="shared" si="60"/>
        <v>#VALUE!</v>
      </c>
      <c r="DG96" s="94" t="e">
        <f t="shared" si="60"/>
        <v>#VALUE!</v>
      </c>
      <c r="DH96" s="94" t="e">
        <f t="shared" si="60"/>
        <v>#VALUE!</v>
      </c>
      <c r="DI96" s="94" t="e">
        <f t="shared" si="60"/>
        <v>#VALUE!</v>
      </c>
    </row>
    <row r="97" spans="1:133" x14ac:dyDescent="0.2">
      <c r="BF97" s="604"/>
      <c r="BP97" s="146"/>
      <c r="BQ97" s="146"/>
      <c r="BR97" s="146"/>
      <c r="BS97" s="146"/>
      <c r="BT97" s="146"/>
      <c r="BU97" s="146"/>
      <c r="BV97" s="146"/>
      <c r="BW97" s="146"/>
      <c r="BX97" s="146"/>
      <c r="BY97" s="146"/>
      <c r="BZ97" s="146"/>
      <c r="CA97" s="146"/>
      <c r="CB97" s="146"/>
      <c r="CC97" s="146"/>
      <c r="CD97" s="146"/>
      <c r="CE97" s="146"/>
      <c r="CF97" s="146"/>
      <c r="CG97" s="149"/>
      <c r="CH97" s="146"/>
      <c r="DE97" s="94" t="e">
        <f t="shared" si="60"/>
        <v>#VALUE!</v>
      </c>
      <c r="DF97" s="94" t="e">
        <f t="shared" si="60"/>
        <v>#VALUE!</v>
      </c>
      <c r="DG97" s="94" t="e">
        <f t="shared" si="60"/>
        <v>#VALUE!</v>
      </c>
      <c r="DH97" s="94" t="e">
        <f t="shared" si="60"/>
        <v>#VALUE!</v>
      </c>
      <c r="DI97" s="94" t="e">
        <f t="shared" si="60"/>
        <v>#VALUE!</v>
      </c>
    </row>
    <row r="98" spans="1:133" x14ac:dyDescent="0.2">
      <c r="BF98" s="604"/>
      <c r="BP98" s="146"/>
      <c r="BQ98" s="146"/>
      <c r="BR98" s="146"/>
      <c r="BS98" s="146"/>
      <c r="BT98" s="146"/>
      <c r="BU98" s="146"/>
      <c r="BV98" s="146"/>
      <c r="BW98" s="146"/>
      <c r="BX98" s="146"/>
      <c r="BY98" s="146"/>
      <c r="BZ98" s="146"/>
      <c r="CA98" s="146"/>
      <c r="CB98" s="146"/>
      <c r="CC98" s="146"/>
      <c r="CD98" s="146"/>
      <c r="CE98" s="146"/>
      <c r="CF98" s="146"/>
      <c r="CG98" s="146"/>
      <c r="CH98" s="146"/>
    </row>
    <row r="99" spans="1:133" x14ac:dyDescent="0.2">
      <c r="BF99" s="604"/>
      <c r="CU99" s="604"/>
      <c r="CV99" s="604"/>
      <c r="CW99" s="604"/>
      <c r="CX99" s="604"/>
      <c r="CY99" s="604"/>
      <c r="CZ99" s="604"/>
      <c r="DA99" s="604"/>
      <c r="DB99" s="604"/>
      <c r="DC99" s="604"/>
      <c r="DD99" s="604"/>
      <c r="DE99" s="604"/>
      <c r="DF99" s="604"/>
    </row>
    <row r="100" spans="1:133" x14ac:dyDescent="0.2">
      <c r="BF100" s="604"/>
    </row>
    <row r="101" spans="1:133" s="111" customFormat="1" ht="15" thickBot="1" x14ac:dyDescent="0.25">
      <c r="CO101" s="113"/>
      <c r="CP101" s="151"/>
      <c r="CQ101" s="107"/>
      <c r="DR101" s="107"/>
      <c r="DS101" s="146"/>
      <c r="DT101" s="146"/>
      <c r="DU101" s="146"/>
      <c r="DV101" s="146"/>
      <c r="DW101" s="146"/>
      <c r="DX101" s="146"/>
      <c r="DY101" s="146"/>
      <c r="DZ101" s="146"/>
      <c r="EC101" s="146"/>
    </row>
    <row r="102" spans="1:133" ht="14.25" customHeight="1" x14ac:dyDescent="0.2">
      <c r="BF102" s="604"/>
    </row>
    <row r="103" spans="1:133" ht="14.25" customHeight="1" x14ac:dyDescent="0.2">
      <c r="BF103" s="604"/>
    </row>
    <row r="104" spans="1:133" ht="14.25" customHeight="1" x14ac:dyDescent="0.2">
      <c r="BF104" s="604"/>
    </row>
    <row r="105" spans="1:133" ht="14.25" customHeight="1" x14ac:dyDescent="0.2">
      <c r="BF105" s="604"/>
    </row>
    <row r="106" spans="1:133" s="114" customFormat="1" ht="14.25" customHeight="1" x14ac:dyDescent="0.2">
      <c r="CO106" s="115"/>
      <c r="CP106" s="151"/>
      <c r="CQ106" s="33"/>
      <c r="DR106" s="33"/>
      <c r="DS106" s="146"/>
      <c r="DT106" s="146"/>
      <c r="DU106" s="146"/>
      <c r="DV106" s="146"/>
      <c r="DW106" s="146"/>
      <c r="DX106" s="146"/>
      <c r="DY106" s="146"/>
      <c r="DZ106" s="146"/>
      <c r="EC106" s="146"/>
    </row>
    <row r="107" spans="1:133" ht="14.25" hidden="1" customHeight="1" x14ac:dyDescent="0.2">
      <c r="BF107" s="604"/>
    </row>
    <row r="108" spans="1:133" ht="14.25" hidden="1" customHeight="1" x14ac:dyDescent="0.2">
      <c r="A108" s="116" t="s">
        <v>14</v>
      </c>
      <c r="F108" s="117" t="s">
        <v>51</v>
      </c>
      <c r="G108" s="117" t="s">
        <v>51</v>
      </c>
      <c r="H108" s="117" t="s">
        <v>51</v>
      </c>
      <c r="I108" s="117" t="s">
        <v>51</v>
      </c>
      <c r="J108" s="117" t="s">
        <v>51</v>
      </c>
      <c r="K108" s="117" t="s">
        <v>51</v>
      </c>
      <c r="L108" s="117" t="s">
        <v>51</v>
      </c>
      <c r="M108" s="117" t="s">
        <v>51</v>
      </c>
      <c r="N108" s="117" t="s">
        <v>51</v>
      </c>
      <c r="O108" s="117" t="s">
        <v>51</v>
      </c>
      <c r="P108" s="117" t="s">
        <v>51</v>
      </c>
      <c r="Q108" s="117" t="s">
        <v>51</v>
      </c>
      <c r="R108" s="117" t="s">
        <v>51</v>
      </c>
      <c r="S108" s="761" t="s">
        <v>51</v>
      </c>
      <c r="T108" s="761" t="s">
        <v>51</v>
      </c>
      <c r="U108" s="761" t="s">
        <v>51</v>
      </c>
      <c r="V108" s="117" t="s">
        <v>51</v>
      </c>
      <c r="W108" s="117" t="s">
        <v>51</v>
      </c>
      <c r="X108" s="117" t="s">
        <v>51</v>
      </c>
      <c r="Y108" s="117" t="s">
        <v>51</v>
      </c>
      <c r="Z108" s="117" t="s">
        <v>51</v>
      </c>
      <c r="AA108" s="117" t="s">
        <v>51</v>
      </c>
      <c r="AB108" s="117" t="s">
        <v>51</v>
      </c>
      <c r="AC108" s="117" t="s">
        <v>51</v>
      </c>
      <c r="AD108" s="117" t="s">
        <v>51</v>
      </c>
      <c r="AE108" s="117" t="s">
        <v>51</v>
      </c>
      <c r="AF108" s="117" t="s">
        <v>51</v>
      </c>
      <c r="AG108" s="117" t="s">
        <v>51</v>
      </c>
      <c r="AH108" s="117" t="s">
        <v>51</v>
      </c>
      <c r="AI108" s="117" t="s">
        <v>51</v>
      </c>
      <c r="AJ108" s="117" t="s">
        <v>51</v>
      </c>
      <c r="AK108" s="117" t="s">
        <v>51</v>
      </c>
      <c r="AL108" s="117" t="s">
        <v>51</v>
      </c>
      <c r="AM108" s="761" t="s">
        <v>51</v>
      </c>
      <c r="AN108" s="761" t="s">
        <v>51</v>
      </c>
      <c r="AO108" s="761" t="s">
        <v>51</v>
      </c>
      <c r="AP108" s="117" t="s">
        <v>51</v>
      </c>
      <c r="AQ108" s="117" t="s">
        <v>51</v>
      </c>
      <c r="AR108" s="117" t="s">
        <v>51</v>
      </c>
      <c r="AS108" s="117" t="s">
        <v>51</v>
      </c>
      <c r="AT108" s="117" t="s">
        <v>51</v>
      </c>
      <c r="AU108" s="117" t="s">
        <v>51</v>
      </c>
      <c r="AV108" s="117" t="s">
        <v>51</v>
      </c>
      <c r="AW108" s="117" t="s">
        <v>51</v>
      </c>
      <c r="AX108" s="117" t="s">
        <v>51</v>
      </c>
      <c r="AY108" s="117" t="s">
        <v>51</v>
      </c>
      <c r="AZ108" s="117" t="s">
        <v>51</v>
      </c>
      <c r="BA108" s="117" t="s">
        <v>51</v>
      </c>
      <c r="BB108" s="117" t="s">
        <v>51</v>
      </c>
      <c r="BC108" s="117" t="s">
        <v>51</v>
      </c>
      <c r="BD108" s="117" t="s">
        <v>51</v>
      </c>
      <c r="BE108" s="120" t="s">
        <v>49</v>
      </c>
      <c r="BF108" s="120" t="s">
        <v>49</v>
      </c>
      <c r="BG108" s="120" t="s">
        <v>49</v>
      </c>
      <c r="BH108" s="120" t="s">
        <v>49</v>
      </c>
      <c r="BI108" s="120" t="s">
        <v>49</v>
      </c>
      <c r="BJ108" s="120" t="s">
        <v>49</v>
      </c>
      <c r="BK108" s="120" t="s">
        <v>49</v>
      </c>
      <c r="BL108" s="120" t="s">
        <v>49</v>
      </c>
      <c r="BM108" s="120" t="s">
        <v>49</v>
      </c>
      <c r="BN108" s="120" t="s">
        <v>49</v>
      </c>
      <c r="BO108" s="120" t="s">
        <v>49</v>
      </c>
      <c r="BP108" s="293" t="s">
        <v>46</v>
      </c>
      <c r="BQ108" s="293" t="s">
        <v>46</v>
      </c>
      <c r="BR108" s="293" t="s">
        <v>46</v>
      </c>
      <c r="BS108" s="293" t="s">
        <v>46</v>
      </c>
      <c r="BT108" s="293" t="s">
        <v>46</v>
      </c>
      <c r="BU108" s="293" t="s">
        <v>46</v>
      </c>
      <c r="BV108" s="293" t="s">
        <v>46</v>
      </c>
      <c r="BW108" s="293" t="s">
        <v>46</v>
      </c>
      <c r="BX108" s="293" t="s">
        <v>46</v>
      </c>
      <c r="BY108" s="293" t="s">
        <v>46</v>
      </c>
      <c r="BZ108" s="293" t="s">
        <v>46</v>
      </c>
      <c r="CA108" s="293" t="s">
        <v>46</v>
      </c>
      <c r="CB108" s="119" t="s">
        <v>50</v>
      </c>
      <c r="CC108" s="119" t="s">
        <v>50</v>
      </c>
      <c r="CD108" s="119" t="s">
        <v>50</v>
      </c>
      <c r="CE108" s="119" t="s">
        <v>50</v>
      </c>
      <c r="CF108" s="119" t="s">
        <v>50</v>
      </c>
      <c r="CG108" s="119" t="s">
        <v>50</v>
      </c>
      <c r="CH108" s="119" t="s">
        <v>50</v>
      </c>
      <c r="CI108" s="119" t="s">
        <v>50</v>
      </c>
      <c r="CJ108" s="119" t="s">
        <v>50</v>
      </c>
      <c r="CK108" s="119" t="s">
        <v>50</v>
      </c>
      <c r="CL108" s="119" t="s">
        <v>50</v>
      </c>
      <c r="CM108" s="119" t="s">
        <v>50</v>
      </c>
    </row>
    <row r="109" spans="1:133" ht="14.25" hidden="1" customHeight="1" x14ac:dyDescent="0.2">
      <c r="A109" s="121" t="s">
        <v>39</v>
      </c>
      <c r="F109" s="122" t="s">
        <v>52</v>
      </c>
      <c r="G109" s="122" t="s">
        <v>52</v>
      </c>
      <c r="H109" s="122" t="s">
        <v>52</v>
      </c>
      <c r="I109" s="122" t="s">
        <v>52</v>
      </c>
      <c r="J109" s="122" t="s">
        <v>52</v>
      </c>
      <c r="K109" s="122" t="s">
        <v>52</v>
      </c>
      <c r="L109" s="122" t="s">
        <v>52</v>
      </c>
      <c r="M109" s="122" t="s">
        <v>52</v>
      </c>
      <c r="N109" s="122" t="s">
        <v>52</v>
      </c>
      <c r="O109" s="122" t="s">
        <v>52</v>
      </c>
      <c r="P109" s="122" t="s">
        <v>52</v>
      </c>
      <c r="Q109" s="122" t="s">
        <v>52</v>
      </c>
      <c r="R109" s="122" t="s">
        <v>52</v>
      </c>
      <c r="S109" s="763" t="s">
        <v>52</v>
      </c>
      <c r="T109" s="763" t="s">
        <v>52</v>
      </c>
      <c r="U109" s="763" t="s">
        <v>52</v>
      </c>
      <c r="V109" s="122" t="s">
        <v>52</v>
      </c>
      <c r="W109" s="122" t="s">
        <v>52</v>
      </c>
      <c r="X109" s="122" t="s">
        <v>52</v>
      </c>
      <c r="Y109" s="122" t="s">
        <v>52</v>
      </c>
      <c r="Z109" s="122" t="s">
        <v>52</v>
      </c>
      <c r="AA109" s="122" t="s">
        <v>52</v>
      </c>
      <c r="AB109" s="122" t="s">
        <v>52</v>
      </c>
      <c r="AC109" s="122" t="s">
        <v>52</v>
      </c>
      <c r="AD109" s="122" t="s">
        <v>52</v>
      </c>
      <c r="AE109" s="122" t="s">
        <v>52</v>
      </c>
      <c r="AF109" s="122" t="s">
        <v>52</v>
      </c>
      <c r="AG109" s="122" t="s">
        <v>52</v>
      </c>
      <c r="AH109" s="122" t="s">
        <v>52</v>
      </c>
      <c r="AI109" s="122" t="s">
        <v>52</v>
      </c>
      <c r="AJ109" s="122" t="s">
        <v>52</v>
      </c>
      <c r="AK109" s="122" t="s">
        <v>52</v>
      </c>
      <c r="AL109" s="122" t="s">
        <v>52</v>
      </c>
      <c r="AM109" s="763" t="s">
        <v>52</v>
      </c>
      <c r="AN109" s="763" t="s">
        <v>52</v>
      </c>
      <c r="AO109" s="763" t="s">
        <v>52</v>
      </c>
      <c r="AP109" s="122" t="s">
        <v>52</v>
      </c>
      <c r="AQ109" s="122" t="s">
        <v>52</v>
      </c>
      <c r="AR109" s="122" t="s">
        <v>52</v>
      </c>
      <c r="AS109" s="122" t="s">
        <v>52</v>
      </c>
      <c r="AT109" s="122" t="s">
        <v>52</v>
      </c>
      <c r="AU109" s="122" t="s">
        <v>52</v>
      </c>
      <c r="AV109" s="122" t="s">
        <v>52</v>
      </c>
      <c r="AW109" s="122" t="s">
        <v>52</v>
      </c>
      <c r="AX109" s="122" t="s">
        <v>52</v>
      </c>
      <c r="AY109" s="122" t="s">
        <v>52</v>
      </c>
      <c r="AZ109" s="122" t="s">
        <v>52</v>
      </c>
      <c r="BA109" s="122" t="s">
        <v>52</v>
      </c>
      <c r="BB109" s="122" t="s">
        <v>52</v>
      </c>
      <c r="BC109" s="122" t="s">
        <v>52</v>
      </c>
      <c r="BD109" s="122" t="s">
        <v>52</v>
      </c>
      <c r="BE109" s="122" t="s">
        <v>40</v>
      </c>
      <c r="BF109" s="122" t="s">
        <v>40</v>
      </c>
      <c r="BG109" s="122" t="s">
        <v>40</v>
      </c>
      <c r="BH109" s="122" t="s">
        <v>40</v>
      </c>
      <c r="BI109" s="122" t="s">
        <v>40</v>
      </c>
      <c r="BJ109" s="122" t="s">
        <v>40</v>
      </c>
      <c r="BK109" s="122" t="s">
        <v>40</v>
      </c>
      <c r="BL109" s="122" t="s">
        <v>40</v>
      </c>
      <c r="BM109" s="122" t="s">
        <v>40</v>
      </c>
      <c r="BN109" s="122" t="s">
        <v>40</v>
      </c>
      <c r="BO109" s="122" t="s">
        <v>40</v>
      </c>
      <c r="BP109" s="299" t="s">
        <v>45</v>
      </c>
      <c r="BQ109" s="299" t="s">
        <v>45</v>
      </c>
      <c r="BR109" s="299" t="s">
        <v>45</v>
      </c>
      <c r="BS109" s="299" t="s">
        <v>45</v>
      </c>
      <c r="BT109" s="299" t="s">
        <v>45</v>
      </c>
      <c r="BU109" s="299" t="s">
        <v>45</v>
      </c>
      <c r="BV109" s="299" t="s">
        <v>45</v>
      </c>
      <c r="BW109" s="299" t="s">
        <v>45</v>
      </c>
      <c r="BX109" s="299" t="s">
        <v>45</v>
      </c>
      <c r="BY109" s="299" t="s">
        <v>45</v>
      </c>
      <c r="BZ109" s="299" t="s">
        <v>45</v>
      </c>
      <c r="CA109" s="299" t="s">
        <v>45</v>
      </c>
      <c r="CB109" s="122" t="s">
        <v>40</v>
      </c>
      <c r="CC109" s="122" t="s">
        <v>40</v>
      </c>
      <c r="CD109" s="122" t="s">
        <v>40</v>
      </c>
      <c r="CE109" s="122" t="s">
        <v>40</v>
      </c>
      <c r="CF109" s="122" t="s">
        <v>40</v>
      </c>
      <c r="CG109" s="122" t="s">
        <v>40</v>
      </c>
      <c r="CH109" s="122" t="s">
        <v>40</v>
      </c>
      <c r="CI109" s="122" t="s">
        <v>40</v>
      </c>
      <c r="CJ109" s="122" t="s">
        <v>40</v>
      </c>
      <c r="CK109" s="122" t="s">
        <v>40</v>
      </c>
      <c r="CL109" s="122" t="s">
        <v>40</v>
      </c>
      <c r="CM109" s="122" t="s">
        <v>40</v>
      </c>
    </row>
    <row r="110" spans="1:133" s="46" customFormat="1" ht="14.25" hidden="1" customHeight="1" x14ac:dyDescent="0.2">
      <c r="A110" s="97" t="s">
        <v>13</v>
      </c>
      <c r="B110" s="97" t="s">
        <v>35</v>
      </c>
      <c r="C110" s="97" t="s">
        <v>28</v>
      </c>
      <c r="D110" s="97"/>
      <c r="E110" s="97"/>
      <c r="F110" s="529">
        <v>25</v>
      </c>
      <c r="G110" s="529">
        <v>25</v>
      </c>
      <c r="H110" s="529">
        <v>25</v>
      </c>
      <c r="I110" s="529">
        <v>25</v>
      </c>
      <c r="J110" s="529">
        <v>25</v>
      </c>
      <c r="K110" s="529">
        <v>25</v>
      </c>
      <c r="L110" s="529">
        <v>25</v>
      </c>
      <c r="M110" s="529">
        <v>25</v>
      </c>
      <c r="N110" s="529">
        <v>25</v>
      </c>
      <c r="O110" s="529">
        <v>25</v>
      </c>
      <c r="P110" s="529">
        <v>25</v>
      </c>
      <c r="Q110" s="529">
        <v>25</v>
      </c>
      <c r="R110" s="529">
        <v>25</v>
      </c>
      <c r="S110" s="529"/>
      <c r="T110" s="529">
        <v>25</v>
      </c>
      <c r="U110" s="529"/>
      <c r="V110" s="529">
        <v>25</v>
      </c>
      <c r="W110" s="529">
        <v>25</v>
      </c>
      <c r="X110" s="529">
        <v>25</v>
      </c>
      <c r="Y110" s="529">
        <v>25</v>
      </c>
      <c r="Z110" s="529">
        <v>25</v>
      </c>
      <c r="AA110" s="529">
        <v>25</v>
      </c>
      <c r="AB110" s="529">
        <v>25</v>
      </c>
      <c r="AC110" s="529">
        <v>25</v>
      </c>
      <c r="AD110" s="529">
        <v>25</v>
      </c>
      <c r="AE110" s="529">
        <v>25</v>
      </c>
      <c r="AF110" s="529">
        <v>25</v>
      </c>
      <c r="AG110" s="529">
        <v>25</v>
      </c>
      <c r="AH110" s="529">
        <v>25</v>
      </c>
      <c r="AI110" s="529">
        <v>25</v>
      </c>
      <c r="AJ110" s="529">
        <v>25</v>
      </c>
      <c r="AK110" s="529">
        <v>25</v>
      </c>
      <c r="AL110" s="529">
        <v>25</v>
      </c>
      <c r="AM110" s="529"/>
      <c r="AN110" s="529"/>
      <c r="AO110" s="529"/>
      <c r="AP110" s="529">
        <v>25</v>
      </c>
      <c r="AQ110" s="529">
        <v>25</v>
      </c>
      <c r="AR110" s="529">
        <v>25</v>
      </c>
      <c r="AS110" s="529">
        <v>25</v>
      </c>
      <c r="AT110" s="529">
        <v>25</v>
      </c>
      <c r="AU110" s="529">
        <v>25</v>
      </c>
      <c r="AV110" s="529">
        <v>25</v>
      </c>
      <c r="AW110" s="529">
        <v>25</v>
      </c>
      <c r="AX110" s="529">
        <v>25</v>
      </c>
      <c r="AY110" s="529">
        <v>25</v>
      </c>
      <c r="AZ110" s="529">
        <v>25</v>
      </c>
      <c r="BA110" s="529">
        <v>25</v>
      </c>
      <c r="BB110" s="97">
        <v>3</v>
      </c>
      <c r="BC110" s="97">
        <v>3</v>
      </c>
      <c r="BD110" s="97">
        <v>3</v>
      </c>
      <c r="BE110" s="97">
        <v>3</v>
      </c>
      <c r="BF110" s="97">
        <v>3</v>
      </c>
      <c r="BG110" s="97">
        <v>3</v>
      </c>
      <c r="BH110" s="97">
        <v>10</v>
      </c>
      <c r="BI110" s="97">
        <v>10</v>
      </c>
      <c r="BJ110" s="97">
        <v>10</v>
      </c>
      <c r="BK110" s="97">
        <v>10</v>
      </c>
      <c r="BL110" s="97">
        <v>10</v>
      </c>
      <c r="BM110" s="97">
        <v>10</v>
      </c>
      <c r="BN110" s="97"/>
      <c r="BO110" s="97">
        <v>10</v>
      </c>
      <c r="BP110" s="97">
        <v>17</v>
      </c>
      <c r="BQ110" s="97">
        <v>17</v>
      </c>
      <c r="BR110" s="97">
        <v>17</v>
      </c>
      <c r="BS110" s="97"/>
      <c r="BT110" s="97"/>
      <c r="BU110" s="97"/>
      <c r="BV110" s="97"/>
      <c r="BW110" s="97"/>
      <c r="BX110" s="97"/>
      <c r="BY110" s="97"/>
      <c r="BZ110" s="97"/>
      <c r="CA110" s="97"/>
      <c r="CB110" s="97">
        <v>17</v>
      </c>
      <c r="CC110" s="97">
        <v>17</v>
      </c>
      <c r="CD110" s="97">
        <v>17</v>
      </c>
      <c r="CE110" s="97"/>
      <c r="CF110" s="97"/>
      <c r="CG110" s="97"/>
      <c r="CH110" s="492"/>
      <c r="CI110" s="492"/>
      <c r="CJ110" s="492"/>
      <c r="CK110" s="492"/>
      <c r="CL110" s="492"/>
      <c r="CM110" s="492"/>
      <c r="CO110" s="532"/>
      <c r="CP110" s="531"/>
      <c r="DS110" s="492"/>
      <c r="DT110" s="492"/>
      <c r="DU110" s="492"/>
      <c r="DV110" s="492"/>
      <c r="DW110" s="492"/>
      <c r="DX110" s="492"/>
      <c r="DY110" s="492"/>
      <c r="DZ110" s="492"/>
      <c r="EC110" s="492"/>
    </row>
    <row r="111" spans="1:133" s="46" customFormat="1" ht="14.25" hidden="1" customHeight="1" x14ac:dyDescent="0.2">
      <c r="A111" s="97" t="s">
        <v>14</v>
      </c>
      <c r="B111" s="97" t="s">
        <v>35</v>
      </c>
      <c r="C111" s="97" t="s">
        <v>28</v>
      </c>
      <c r="D111" s="97"/>
      <c r="E111" s="97"/>
      <c r="F111" s="132">
        <v>1</v>
      </c>
      <c r="G111" s="132">
        <v>1</v>
      </c>
      <c r="H111" s="132">
        <v>1</v>
      </c>
      <c r="I111" s="132">
        <v>1</v>
      </c>
      <c r="J111" s="132">
        <v>1</v>
      </c>
      <c r="K111" s="132">
        <v>1</v>
      </c>
      <c r="L111" s="132">
        <v>1</v>
      </c>
      <c r="M111" s="132">
        <v>1</v>
      </c>
      <c r="N111" s="132">
        <v>1</v>
      </c>
      <c r="O111" s="132">
        <v>1</v>
      </c>
      <c r="P111" s="132">
        <v>1</v>
      </c>
      <c r="Q111" s="132">
        <v>1</v>
      </c>
      <c r="R111" s="132">
        <v>1</v>
      </c>
      <c r="S111" s="132"/>
      <c r="T111" s="132">
        <v>1</v>
      </c>
      <c r="U111" s="132"/>
      <c r="V111" s="132">
        <v>1</v>
      </c>
      <c r="W111" s="132">
        <v>1</v>
      </c>
      <c r="X111" s="132">
        <v>1</v>
      </c>
      <c r="Y111" s="132">
        <v>1</v>
      </c>
      <c r="Z111" s="132">
        <v>1</v>
      </c>
      <c r="AA111" s="132">
        <v>1</v>
      </c>
      <c r="AB111" s="132">
        <v>1</v>
      </c>
      <c r="AC111" s="132">
        <v>1</v>
      </c>
      <c r="AD111" s="132">
        <v>1</v>
      </c>
      <c r="AE111" s="132">
        <v>1</v>
      </c>
      <c r="AF111" s="132">
        <v>1</v>
      </c>
      <c r="AG111" s="132">
        <v>1</v>
      </c>
      <c r="AH111" s="132">
        <v>1</v>
      </c>
      <c r="AI111" s="132">
        <v>1</v>
      </c>
      <c r="AJ111" s="132">
        <v>1</v>
      </c>
      <c r="AK111" s="132">
        <v>1</v>
      </c>
      <c r="AL111" s="132">
        <v>1</v>
      </c>
      <c r="AM111" s="132"/>
      <c r="AN111" s="132"/>
      <c r="AO111" s="132"/>
      <c r="AP111" s="132">
        <v>6</v>
      </c>
      <c r="AQ111" s="132">
        <v>6</v>
      </c>
      <c r="AR111" s="132">
        <v>6</v>
      </c>
      <c r="AS111" s="97">
        <v>6</v>
      </c>
      <c r="AT111" s="97">
        <v>6</v>
      </c>
      <c r="AU111" s="97">
        <v>6</v>
      </c>
      <c r="AV111" s="97">
        <v>6</v>
      </c>
      <c r="AW111" s="97">
        <v>6</v>
      </c>
      <c r="AX111" s="97">
        <v>6</v>
      </c>
      <c r="AY111" s="97">
        <v>6</v>
      </c>
      <c r="AZ111" s="97">
        <v>6</v>
      </c>
      <c r="BA111" s="97">
        <v>6</v>
      </c>
      <c r="BB111" s="97">
        <v>1</v>
      </c>
      <c r="BC111" s="97">
        <v>1</v>
      </c>
      <c r="BD111" s="97">
        <v>1</v>
      </c>
      <c r="BE111" s="97">
        <v>1</v>
      </c>
      <c r="BF111" s="97">
        <v>1</v>
      </c>
      <c r="BG111" s="97">
        <v>1</v>
      </c>
      <c r="BH111" s="97">
        <v>5</v>
      </c>
      <c r="BI111" s="97">
        <v>5</v>
      </c>
      <c r="BJ111" s="97">
        <v>5</v>
      </c>
      <c r="BK111" s="97">
        <v>5</v>
      </c>
      <c r="BL111" s="97">
        <v>5</v>
      </c>
      <c r="BM111" s="97">
        <v>5</v>
      </c>
      <c r="BN111" s="97">
        <v>5</v>
      </c>
      <c r="BO111" s="97">
        <v>5</v>
      </c>
      <c r="BP111" s="97">
        <v>10</v>
      </c>
      <c r="BQ111" s="97">
        <v>10</v>
      </c>
      <c r="BR111" s="97">
        <v>10</v>
      </c>
      <c r="BS111" s="97"/>
      <c r="BT111" s="97"/>
      <c r="BU111" s="97"/>
      <c r="BV111" s="97"/>
      <c r="BW111" s="97"/>
      <c r="BX111" s="97"/>
      <c r="BY111" s="97"/>
      <c r="BZ111" s="97"/>
      <c r="CA111" s="97"/>
      <c r="CB111" s="97">
        <v>10</v>
      </c>
      <c r="CC111" s="97">
        <v>10</v>
      </c>
      <c r="CD111" s="97">
        <v>10</v>
      </c>
      <c r="CE111" s="97"/>
      <c r="CF111" s="97"/>
      <c r="CG111" s="97"/>
      <c r="CH111" s="492"/>
      <c r="CI111" s="492"/>
      <c r="CJ111" s="492"/>
      <c r="CK111" s="492"/>
      <c r="CL111" s="492"/>
      <c r="CM111" s="492"/>
      <c r="CO111" s="532">
        <f t="array" ref="CO111">SUM($F111:$CG111*$F$11:$CG$11)</f>
        <v>31</v>
      </c>
      <c r="CP111" s="531"/>
      <c r="DS111" s="492"/>
      <c r="DT111" s="492"/>
      <c r="DU111" s="492"/>
      <c r="DV111" s="492"/>
      <c r="DW111" s="492"/>
      <c r="DX111" s="492"/>
      <c r="DY111" s="492"/>
      <c r="DZ111" s="492"/>
      <c r="EC111" s="492"/>
    </row>
    <row r="112" spans="1:133" s="64" customFormat="1" ht="14.25" hidden="1" customHeight="1" x14ac:dyDescent="0.2">
      <c r="A112" s="58" t="s">
        <v>39</v>
      </c>
      <c r="B112" s="58" t="s">
        <v>35</v>
      </c>
      <c r="C112" s="58"/>
      <c r="D112" s="58"/>
      <c r="E112" s="58"/>
      <c r="F112" s="62">
        <f t="shared" ref="F112:Q112" si="61">F110*F111/100*F$11</f>
        <v>0</v>
      </c>
      <c r="G112" s="62">
        <f t="shared" si="61"/>
        <v>0</v>
      </c>
      <c r="H112" s="62">
        <f t="shared" si="61"/>
        <v>0</v>
      </c>
      <c r="I112" s="62">
        <f t="shared" si="61"/>
        <v>0</v>
      </c>
      <c r="J112" s="62">
        <f t="shared" si="61"/>
        <v>0</v>
      </c>
      <c r="K112" s="62">
        <f t="shared" si="61"/>
        <v>0</v>
      </c>
      <c r="L112" s="62">
        <f t="shared" si="61"/>
        <v>0</v>
      </c>
      <c r="M112" s="62">
        <f t="shared" si="61"/>
        <v>0</v>
      </c>
      <c r="N112" s="62">
        <f t="shared" si="61"/>
        <v>0</v>
      </c>
      <c r="O112" s="62">
        <f t="shared" si="61"/>
        <v>0</v>
      </c>
      <c r="P112" s="62">
        <f t="shared" si="61"/>
        <v>0</v>
      </c>
      <c r="Q112" s="62">
        <f t="shared" si="61"/>
        <v>0</v>
      </c>
      <c r="R112" s="62">
        <f t="shared" ref="R112:V112" si="62">R110*R111/100*R$11</f>
        <v>0</v>
      </c>
      <c r="S112" s="62"/>
      <c r="T112" s="62">
        <f t="shared" si="62"/>
        <v>0</v>
      </c>
      <c r="U112" s="62"/>
      <c r="V112" s="62">
        <f t="shared" si="62"/>
        <v>0</v>
      </c>
      <c r="W112" s="62">
        <f t="shared" ref="W112:AF112" si="63">W110*W111/100*W$11</f>
        <v>0</v>
      </c>
      <c r="X112" s="62">
        <f t="shared" ref="X112:Y112" si="64">X110*X111/100*X$11</f>
        <v>0</v>
      </c>
      <c r="Y112" s="62">
        <f t="shared" si="64"/>
        <v>0</v>
      </c>
      <c r="Z112" s="62">
        <f t="shared" si="63"/>
        <v>0</v>
      </c>
      <c r="AA112" s="62">
        <f t="shared" si="63"/>
        <v>0</v>
      </c>
      <c r="AB112" s="62">
        <f t="shared" si="63"/>
        <v>0</v>
      </c>
      <c r="AC112" s="62">
        <f t="shared" si="63"/>
        <v>0</v>
      </c>
      <c r="AD112" s="62">
        <f t="shared" si="63"/>
        <v>0</v>
      </c>
      <c r="AE112" s="62">
        <f t="shared" si="63"/>
        <v>0</v>
      </c>
      <c r="AF112" s="62">
        <f t="shared" si="63"/>
        <v>0</v>
      </c>
      <c r="AG112" s="62">
        <f t="shared" ref="AG112:AX112" si="65">AG110*AG111/100*AG$11</f>
        <v>0</v>
      </c>
      <c r="AH112" s="62">
        <f t="shared" si="65"/>
        <v>0</v>
      </c>
      <c r="AI112" s="62">
        <f t="shared" si="65"/>
        <v>0.25</v>
      </c>
      <c r="AJ112" s="62">
        <f t="shared" si="65"/>
        <v>0</v>
      </c>
      <c r="AK112" s="62">
        <f t="shared" si="65"/>
        <v>0</v>
      </c>
      <c r="AL112" s="62">
        <f t="shared" si="65"/>
        <v>0</v>
      </c>
      <c r="AM112" s="62"/>
      <c r="AN112" s="62"/>
      <c r="AO112" s="62"/>
      <c r="AP112" s="62">
        <f t="shared" si="65"/>
        <v>0</v>
      </c>
      <c r="AQ112" s="62">
        <f t="shared" si="65"/>
        <v>0</v>
      </c>
      <c r="AR112" s="62">
        <f t="shared" si="65"/>
        <v>0</v>
      </c>
      <c r="AS112" s="62">
        <f t="shared" si="65"/>
        <v>0</v>
      </c>
      <c r="AT112" s="62">
        <f t="shared" si="65"/>
        <v>0</v>
      </c>
      <c r="AU112" s="62">
        <f t="shared" si="65"/>
        <v>0</v>
      </c>
      <c r="AV112" s="62">
        <f t="shared" si="65"/>
        <v>0</v>
      </c>
      <c r="AW112" s="62">
        <f t="shared" si="65"/>
        <v>0</v>
      </c>
      <c r="AX112" s="62">
        <f t="shared" si="65"/>
        <v>0</v>
      </c>
      <c r="AY112" s="62">
        <f t="shared" ref="AY112:BI112" si="66">AY110*AY111/100*AY$11</f>
        <v>0</v>
      </c>
      <c r="AZ112" s="62">
        <f t="shared" si="66"/>
        <v>0</v>
      </c>
      <c r="BA112" s="62">
        <f t="shared" si="66"/>
        <v>0</v>
      </c>
      <c r="BB112" s="62">
        <f t="shared" si="66"/>
        <v>0</v>
      </c>
      <c r="BC112" s="62">
        <f t="shared" si="66"/>
        <v>0</v>
      </c>
      <c r="BD112" s="62">
        <f t="shared" si="66"/>
        <v>0</v>
      </c>
      <c r="BE112" s="62">
        <f t="shared" si="66"/>
        <v>0</v>
      </c>
      <c r="BF112" s="62">
        <f t="shared" si="66"/>
        <v>0</v>
      </c>
      <c r="BG112" s="62">
        <f t="shared" si="66"/>
        <v>0</v>
      </c>
      <c r="BH112" s="62">
        <f t="shared" si="66"/>
        <v>0</v>
      </c>
      <c r="BI112" s="62">
        <f t="shared" si="66"/>
        <v>0</v>
      </c>
      <c r="BJ112" s="62"/>
      <c r="BK112" s="62">
        <f>BK110*BK111/100*BK$11</f>
        <v>0.5</v>
      </c>
      <c r="BL112" s="62">
        <f>BL110*BL111/100*BL$11</f>
        <v>0</v>
      </c>
      <c r="BM112" s="62">
        <f>BM110*BM111/100*BM$11</f>
        <v>0</v>
      </c>
      <c r="BN112" s="62"/>
      <c r="BO112" s="62">
        <f t="shared" ref="BO112" si="67">BO110*BO111/100*BO$11</f>
        <v>0.5</v>
      </c>
      <c r="BP112" s="673">
        <f t="shared" ref="BP112:BR112" si="68">BP110*BP111/100*BP$11</f>
        <v>0</v>
      </c>
      <c r="BQ112" s="673">
        <f t="shared" si="68"/>
        <v>0</v>
      </c>
      <c r="BR112" s="673">
        <f t="shared" si="68"/>
        <v>1.7</v>
      </c>
      <c r="BS112" s="62"/>
      <c r="BT112" s="62"/>
      <c r="BU112" s="62"/>
      <c r="BV112" s="62"/>
      <c r="BW112" s="62"/>
      <c r="BX112" s="62"/>
      <c r="BY112" s="62"/>
      <c r="BZ112" s="62"/>
      <c r="CA112" s="62"/>
      <c r="CB112" s="62">
        <f>CB110*CB111/100*CB$11</f>
        <v>0</v>
      </c>
      <c r="CC112" s="62">
        <f>CC110*CC111/100*CC$11</f>
        <v>0</v>
      </c>
      <c r="CD112" s="62">
        <f>CD110*CD111/100*CD$11</f>
        <v>1.7</v>
      </c>
      <c r="CE112" s="62"/>
      <c r="CF112" s="62"/>
      <c r="CG112" s="62"/>
      <c r="CH112" s="696"/>
      <c r="CI112" s="696"/>
      <c r="CJ112" s="696"/>
      <c r="CK112" s="696"/>
      <c r="CL112" s="696"/>
      <c r="CM112" s="696"/>
      <c r="CO112" s="648">
        <f t="array" ref="CO112">SUM($F112:$CG112*$F$11:$CG$11)</f>
        <v>4.6500000000000004</v>
      </c>
      <c r="CP112" s="649"/>
      <c r="DS112" s="644"/>
      <c r="DT112" s="644"/>
      <c r="DU112" s="644"/>
      <c r="DV112" s="644"/>
      <c r="DW112" s="644"/>
      <c r="DX112" s="644"/>
      <c r="DY112" s="644"/>
      <c r="DZ112" s="644"/>
      <c r="EC112" s="644"/>
    </row>
    <row r="113" spans="1:133" ht="14.25" hidden="1" customHeight="1" x14ac:dyDescent="0.2">
      <c r="A113" s="67" t="s">
        <v>8</v>
      </c>
      <c r="B113" s="67" t="s">
        <v>35</v>
      </c>
      <c r="C113" s="67" t="s">
        <v>41</v>
      </c>
      <c r="D113" s="67"/>
      <c r="E113" s="67"/>
      <c r="F113" s="69"/>
      <c r="G113" s="69"/>
      <c r="H113" s="69">
        <v>1</v>
      </c>
      <c r="I113" s="69"/>
      <c r="J113" s="69"/>
      <c r="K113" s="69">
        <v>1</v>
      </c>
      <c r="L113" s="69"/>
      <c r="M113" s="69"/>
      <c r="N113" s="69">
        <v>1</v>
      </c>
      <c r="O113" s="69"/>
      <c r="P113" s="69"/>
      <c r="Q113" s="69">
        <v>1</v>
      </c>
      <c r="R113" s="69"/>
      <c r="S113" s="69"/>
      <c r="T113" s="69"/>
      <c r="U113" s="69"/>
      <c r="V113" s="69">
        <v>1</v>
      </c>
      <c r="W113" s="69"/>
      <c r="X113" s="69"/>
      <c r="Y113" s="69"/>
      <c r="Z113" s="69"/>
      <c r="AA113" s="69">
        <v>1</v>
      </c>
      <c r="AB113" s="69"/>
      <c r="AC113" s="69"/>
      <c r="AD113" s="69"/>
      <c r="AE113" s="69"/>
      <c r="AF113" s="69">
        <v>1</v>
      </c>
      <c r="AG113" s="69"/>
      <c r="AH113" s="69"/>
      <c r="AI113" s="69">
        <v>1</v>
      </c>
      <c r="AJ113" s="69"/>
      <c r="AK113" s="69"/>
      <c r="AL113" s="69">
        <v>1</v>
      </c>
      <c r="AM113" s="69"/>
      <c r="AN113" s="69"/>
      <c r="AO113" s="69"/>
      <c r="AP113" s="69"/>
      <c r="AQ113" s="69"/>
      <c r="AR113" s="69">
        <v>1</v>
      </c>
      <c r="AS113" s="67"/>
      <c r="AT113" s="67"/>
      <c r="AU113" s="67">
        <v>1</v>
      </c>
      <c r="AV113" s="67"/>
      <c r="AW113" s="67"/>
      <c r="AX113" s="67">
        <v>1</v>
      </c>
      <c r="AY113" s="67"/>
      <c r="AZ113" s="67"/>
      <c r="BA113" s="67">
        <v>1</v>
      </c>
      <c r="BB113" s="67"/>
      <c r="BC113" s="67"/>
      <c r="BD113" s="67">
        <v>1</v>
      </c>
      <c r="BE113" s="67"/>
      <c r="BF113" s="67"/>
      <c r="BG113" s="67">
        <v>1</v>
      </c>
      <c r="BH113" s="67"/>
      <c r="BI113" s="67"/>
      <c r="BJ113" s="67"/>
      <c r="BK113" s="67">
        <v>1</v>
      </c>
      <c r="BL113" s="67"/>
      <c r="BM113" s="67"/>
      <c r="BN113" s="67"/>
      <c r="BO113" s="67">
        <v>1</v>
      </c>
      <c r="BP113" s="67"/>
      <c r="BQ113" s="67"/>
      <c r="BR113" s="67">
        <v>1</v>
      </c>
      <c r="BS113" s="67"/>
      <c r="BT113" s="67"/>
      <c r="BU113" s="67"/>
      <c r="BV113" s="67"/>
      <c r="BW113" s="67"/>
      <c r="BX113" s="67"/>
      <c r="BY113" s="67"/>
      <c r="BZ113" s="67"/>
      <c r="CA113" s="67"/>
      <c r="CB113" s="67"/>
      <c r="CC113" s="67"/>
      <c r="CD113" s="67">
        <v>1</v>
      </c>
      <c r="CE113" s="67"/>
      <c r="CF113" s="67"/>
      <c r="CG113" s="67"/>
      <c r="CH113" s="645"/>
      <c r="CI113" s="645"/>
      <c r="CJ113" s="645"/>
      <c r="CK113" s="645"/>
      <c r="CL113" s="645"/>
      <c r="CM113" s="645"/>
      <c r="CO113" s="142"/>
    </row>
    <row r="114" spans="1:133" ht="14.25" hidden="1" customHeight="1" x14ac:dyDescent="0.2">
      <c r="BF114" s="604"/>
      <c r="CO114" s="129"/>
    </row>
    <row r="115" spans="1:133" s="46" customFormat="1" ht="14.25" hidden="1" customHeight="1" x14ac:dyDescent="0.2">
      <c r="A115" s="97" t="s">
        <v>13</v>
      </c>
      <c r="B115" s="97" t="s">
        <v>7</v>
      </c>
      <c r="C115" s="97" t="s">
        <v>28</v>
      </c>
      <c r="D115" s="97"/>
      <c r="E115" s="97"/>
      <c r="F115" s="132">
        <f t="shared" ref="F115:Q115" si="69">F110</f>
        <v>25</v>
      </c>
      <c r="G115" s="132">
        <f t="shared" si="69"/>
        <v>25</v>
      </c>
      <c r="H115" s="132">
        <f t="shared" si="69"/>
        <v>25</v>
      </c>
      <c r="I115" s="132">
        <f t="shared" si="69"/>
        <v>25</v>
      </c>
      <c r="J115" s="132">
        <f t="shared" si="69"/>
        <v>25</v>
      </c>
      <c r="K115" s="132">
        <f t="shared" si="69"/>
        <v>25</v>
      </c>
      <c r="L115" s="132">
        <f t="shared" si="69"/>
        <v>25</v>
      </c>
      <c r="M115" s="132">
        <f t="shared" si="69"/>
        <v>25</v>
      </c>
      <c r="N115" s="132">
        <f t="shared" si="69"/>
        <v>25</v>
      </c>
      <c r="O115" s="132">
        <f t="shared" si="69"/>
        <v>25</v>
      </c>
      <c r="P115" s="132">
        <f t="shared" si="69"/>
        <v>25</v>
      </c>
      <c r="Q115" s="132">
        <f t="shared" si="69"/>
        <v>25</v>
      </c>
      <c r="R115" s="132">
        <f t="shared" ref="R115:V115" si="70">R110</f>
        <v>25</v>
      </c>
      <c r="S115" s="132"/>
      <c r="T115" s="132">
        <f t="shared" si="70"/>
        <v>25</v>
      </c>
      <c r="U115" s="132"/>
      <c r="V115" s="132">
        <f t="shared" si="70"/>
        <v>25</v>
      </c>
      <c r="W115" s="132">
        <f t="shared" ref="W115:AF115" si="71">W110</f>
        <v>25</v>
      </c>
      <c r="X115" s="132">
        <f t="shared" si="71"/>
        <v>25</v>
      </c>
      <c r="Y115" s="132">
        <f t="shared" si="71"/>
        <v>25</v>
      </c>
      <c r="Z115" s="132">
        <f t="shared" si="71"/>
        <v>25</v>
      </c>
      <c r="AA115" s="132">
        <f t="shared" si="71"/>
        <v>25</v>
      </c>
      <c r="AB115" s="132">
        <f t="shared" si="71"/>
        <v>25</v>
      </c>
      <c r="AC115" s="132">
        <f t="shared" si="71"/>
        <v>25</v>
      </c>
      <c r="AD115" s="132">
        <f t="shared" si="71"/>
        <v>25</v>
      </c>
      <c r="AE115" s="132">
        <f t="shared" si="71"/>
        <v>25</v>
      </c>
      <c r="AF115" s="132">
        <f t="shared" si="71"/>
        <v>25</v>
      </c>
      <c r="AG115" s="132">
        <f t="shared" ref="AG115:AX115" si="72">AG110</f>
        <v>25</v>
      </c>
      <c r="AH115" s="132">
        <f t="shared" si="72"/>
        <v>25</v>
      </c>
      <c r="AI115" s="132">
        <f t="shared" si="72"/>
        <v>25</v>
      </c>
      <c r="AJ115" s="132">
        <f t="shared" si="72"/>
        <v>25</v>
      </c>
      <c r="AK115" s="132">
        <f t="shared" si="72"/>
        <v>25</v>
      </c>
      <c r="AL115" s="132">
        <f t="shared" si="72"/>
        <v>25</v>
      </c>
      <c r="AM115" s="132"/>
      <c r="AN115" s="132"/>
      <c r="AO115" s="132"/>
      <c r="AP115" s="132">
        <f t="shared" si="72"/>
        <v>25</v>
      </c>
      <c r="AQ115" s="132">
        <f t="shared" si="72"/>
        <v>25</v>
      </c>
      <c r="AR115" s="132">
        <f t="shared" si="72"/>
        <v>25</v>
      </c>
      <c r="AS115" s="132">
        <f t="shared" si="72"/>
        <v>25</v>
      </c>
      <c r="AT115" s="132">
        <f t="shared" si="72"/>
        <v>25</v>
      </c>
      <c r="AU115" s="132">
        <f t="shared" si="72"/>
        <v>25</v>
      </c>
      <c r="AV115" s="132">
        <f t="shared" si="72"/>
        <v>25</v>
      </c>
      <c r="AW115" s="132">
        <f t="shared" si="72"/>
        <v>25</v>
      </c>
      <c r="AX115" s="132">
        <f t="shared" si="72"/>
        <v>25</v>
      </c>
      <c r="AY115" s="132">
        <f t="shared" ref="AY115:BA116" si="73">AY110</f>
        <v>25</v>
      </c>
      <c r="AZ115" s="132">
        <f t="shared" si="73"/>
        <v>25</v>
      </c>
      <c r="BA115" s="132">
        <f t="shared" si="73"/>
        <v>25</v>
      </c>
      <c r="BB115" s="97">
        <f t="shared" ref="BB115:BK115" si="74">BB110</f>
        <v>3</v>
      </c>
      <c r="BC115" s="97">
        <f t="shared" si="74"/>
        <v>3</v>
      </c>
      <c r="BD115" s="97">
        <f t="shared" si="74"/>
        <v>3</v>
      </c>
      <c r="BE115" s="97">
        <f t="shared" si="74"/>
        <v>3</v>
      </c>
      <c r="BF115" s="97">
        <f t="shared" si="74"/>
        <v>3</v>
      </c>
      <c r="BG115" s="97">
        <f t="shared" si="74"/>
        <v>3</v>
      </c>
      <c r="BH115" s="97">
        <f t="shared" si="74"/>
        <v>10</v>
      </c>
      <c r="BI115" s="97">
        <f t="shared" si="74"/>
        <v>10</v>
      </c>
      <c r="BJ115" s="97">
        <f t="shared" si="74"/>
        <v>10</v>
      </c>
      <c r="BK115" s="97">
        <f t="shared" si="74"/>
        <v>10</v>
      </c>
      <c r="BL115" s="97">
        <f>BL110</f>
        <v>10</v>
      </c>
      <c r="BM115" s="97">
        <f>BM110</f>
        <v>10</v>
      </c>
      <c r="BN115" s="97">
        <f>BN110</f>
        <v>0</v>
      </c>
      <c r="BO115" s="97">
        <f>BO110</f>
        <v>10</v>
      </c>
      <c r="BP115" s="97">
        <f>BP110</f>
        <v>17</v>
      </c>
      <c r="BQ115" s="97">
        <f t="shared" ref="BQ115:BR115" si="75">BQ110</f>
        <v>17</v>
      </c>
      <c r="BR115" s="97">
        <f t="shared" si="75"/>
        <v>17</v>
      </c>
      <c r="BS115" s="97"/>
      <c r="BT115" s="97"/>
      <c r="BU115" s="97"/>
      <c r="BV115" s="97"/>
      <c r="BW115" s="97"/>
      <c r="BX115" s="97"/>
      <c r="BY115" s="97"/>
      <c r="BZ115" s="97"/>
      <c r="CA115" s="97"/>
      <c r="CB115" s="97">
        <f t="shared" ref="CB115:CD116" si="76">CB110</f>
        <v>17</v>
      </c>
      <c r="CC115" s="97">
        <f t="shared" si="76"/>
        <v>17</v>
      </c>
      <c r="CD115" s="97">
        <f t="shared" si="76"/>
        <v>17</v>
      </c>
      <c r="CE115" s="97"/>
      <c r="CF115" s="97"/>
      <c r="CG115" s="97"/>
      <c r="CH115" s="492"/>
      <c r="CI115" s="492"/>
      <c r="CJ115" s="492"/>
      <c r="CK115" s="492"/>
      <c r="CL115" s="492"/>
      <c r="CM115" s="492"/>
      <c r="CO115" s="532"/>
      <c r="CP115" s="531"/>
      <c r="DS115" s="492"/>
      <c r="DT115" s="492"/>
      <c r="DU115" s="492"/>
      <c r="DV115" s="492"/>
      <c r="DW115" s="492"/>
      <c r="DX115" s="492"/>
      <c r="DY115" s="492"/>
      <c r="DZ115" s="492"/>
      <c r="EC115" s="492"/>
    </row>
    <row r="116" spans="1:133" s="46" customFormat="1" ht="14.25" hidden="1" customHeight="1" x14ac:dyDescent="0.2">
      <c r="A116" s="97" t="s">
        <v>14</v>
      </c>
      <c r="B116" s="97" t="s">
        <v>7</v>
      </c>
      <c r="C116" s="97" t="s">
        <v>28</v>
      </c>
      <c r="D116" s="97"/>
      <c r="E116" s="97"/>
      <c r="F116" s="132">
        <f t="shared" ref="F116:Q116" si="77">F111</f>
        <v>1</v>
      </c>
      <c r="G116" s="132">
        <f t="shared" si="77"/>
        <v>1</v>
      </c>
      <c r="H116" s="132">
        <f t="shared" si="77"/>
        <v>1</v>
      </c>
      <c r="I116" s="132">
        <f t="shared" si="77"/>
        <v>1</v>
      </c>
      <c r="J116" s="132">
        <f t="shared" si="77"/>
        <v>1</v>
      </c>
      <c r="K116" s="132">
        <f t="shared" si="77"/>
        <v>1</v>
      </c>
      <c r="L116" s="132">
        <f t="shared" si="77"/>
        <v>1</v>
      </c>
      <c r="M116" s="132">
        <f t="shared" si="77"/>
        <v>1</v>
      </c>
      <c r="N116" s="132">
        <f t="shared" si="77"/>
        <v>1</v>
      </c>
      <c r="O116" s="132">
        <f t="shared" si="77"/>
        <v>1</v>
      </c>
      <c r="P116" s="132">
        <f t="shared" si="77"/>
        <v>1</v>
      </c>
      <c r="Q116" s="132">
        <f t="shared" si="77"/>
        <v>1</v>
      </c>
      <c r="R116" s="132">
        <f t="shared" ref="R116:V116" si="78">R111</f>
        <v>1</v>
      </c>
      <c r="S116" s="132"/>
      <c r="T116" s="132">
        <f t="shared" si="78"/>
        <v>1</v>
      </c>
      <c r="U116" s="132"/>
      <c r="V116" s="132">
        <f t="shared" si="78"/>
        <v>1</v>
      </c>
      <c r="W116" s="132">
        <f t="shared" ref="W116:AF116" si="79">W111</f>
        <v>1</v>
      </c>
      <c r="X116" s="132">
        <f t="shared" si="79"/>
        <v>1</v>
      </c>
      <c r="Y116" s="132">
        <f t="shared" si="79"/>
        <v>1</v>
      </c>
      <c r="Z116" s="132">
        <f t="shared" si="79"/>
        <v>1</v>
      </c>
      <c r="AA116" s="132">
        <f t="shared" si="79"/>
        <v>1</v>
      </c>
      <c r="AB116" s="132">
        <f t="shared" si="79"/>
        <v>1</v>
      </c>
      <c r="AC116" s="132">
        <f t="shared" si="79"/>
        <v>1</v>
      </c>
      <c r="AD116" s="132">
        <f t="shared" si="79"/>
        <v>1</v>
      </c>
      <c r="AE116" s="132">
        <f t="shared" si="79"/>
        <v>1</v>
      </c>
      <c r="AF116" s="132">
        <f t="shared" si="79"/>
        <v>1</v>
      </c>
      <c r="AG116" s="132">
        <f t="shared" ref="AG116:AX116" si="80">AG111</f>
        <v>1</v>
      </c>
      <c r="AH116" s="132">
        <f t="shared" si="80"/>
        <v>1</v>
      </c>
      <c r="AI116" s="132">
        <f t="shared" si="80"/>
        <v>1</v>
      </c>
      <c r="AJ116" s="132">
        <f t="shared" si="80"/>
        <v>1</v>
      </c>
      <c r="AK116" s="132">
        <f t="shared" si="80"/>
        <v>1</v>
      </c>
      <c r="AL116" s="132">
        <f t="shared" si="80"/>
        <v>1</v>
      </c>
      <c r="AM116" s="132"/>
      <c r="AN116" s="132"/>
      <c r="AO116" s="132"/>
      <c r="AP116" s="132">
        <f t="shared" si="80"/>
        <v>6</v>
      </c>
      <c r="AQ116" s="132">
        <f t="shared" si="80"/>
        <v>6</v>
      </c>
      <c r="AR116" s="132">
        <f t="shared" si="80"/>
        <v>6</v>
      </c>
      <c r="AS116" s="132">
        <f t="shared" si="80"/>
        <v>6</v>
      </c>
      <c r="AT116" s="132">
        <f t="shared" si="80"/>
        <v>6</v>
      </c>
      <c r="AU116" s="132">
        <f t="shared" si="80"/>
        <v>6</v>
      </c>
      <c r="AV116" s="132">
        <f t="shared" si="80"/>
        <v>6</v>
      </c>
      <c r="AW116" s="132">
        <f t="shared" si="80"/>
        <v>6</v>
      </c>
      <c r="AX116" s="132">
        <f t="shared" si="80"/>
        <v>6</v>
      </c>
      <c r="AY116" s="132">
        <f t="shared" si="73"/>
        <v>6</v>
      </c>
      <c r="AZ116" s="132">
        <f t="shared" si="73"/>
        <v>6</v>
      </c>
      <c r="BA116" s="132">
        <f t="shared" si="73"/>
        <v>6</v>
      </c>
      <c r="BB116" s="97">
        <f t="shared" ref="BB116:BK116" si="81">BB111</f>
        <v>1</v>
      </c>
      <c r="BC116" s="97">
        <f t="shared" si="81"/>
        <v>1</v>
      </c>
      <c r="BD116" s="97">
        <f t="shared" si="81"/>
        <v>1</v>
      </c>
      <c r="BE116" s="97">
        <f t="shared" si="81"/>
        <v>1</v>
      </c>
      <c r="BF116" s="97">
        <f t="shared" si="81"/>
        <v>1</v>
      </c>
      <c r="BG116" s="97">
        <f t="shared" si="81"/>
        <v>1</v>
      </c>
      <c r="BH116" s="97">
        <f t="shared" si="81"/>
        <v>5</v>
      </c>
      <c r="BI116" s="97">
        <f t="shared" si="81"/>
        <v>5</v>
      </c>
      <c r="BJ116" s="97">
        <f t="shared" si="81"/>
        <v>5</v>
      </c>
      <c r="BK116" s="97">
        <f t="shared" si="81"/>
        <v>5</v>
      </c>
      <c r="BL116" s="97">
        <f t="shared" ref="BL116:BO116" si="82">BL111</f>
        <v>5</v>
      </c>
      <c r="BM116" s="97">
        <f t="shared" si="82"/>
        <v>5</v>
      </c>
      <c r="BN116" s="97">
        <f t="shared" si="82"/>
        <v>5</v>
      </c>
      <c r="BO116" s="97">
        <f t="shared" si="82"/>
        <v>5</v>
      </c>
      <c r="BP116" s="97">
        <f t="shared" ref="BP116:BR116" si="83">BP111</f>
        <v>10</v>
      </c>
      <c r="BQ116" s="97">
        <f t="shared" si="83"/>
        <v>10</v>
      </c>
      <c r="BR116" s="97">
        <f t="shared" si="83"/>
        <v>10</v>
      </c>
      <c r="BS116" s="97"/>
      <c r="BT116" s="97"/>
      <c r="BU116" s="97"/>
      <c r="BV116" s="97"/>
      <c r="BW116" s="97"/>
      <c r="BX116" s="97"/>
      <c r="BY116" s="97"/>
      <c r="BZ116" s="97"/>
      <c r="CA116" s="97"/>
      <c r="CB116" s="97">
        <f t="shared" si="76"/>
        <v>10</v>
      </c>
      <c r="CC116" s="97">
        <f t="shared" si="76"/>
        <v>10</v>
      </c>
      <c r="CD116" s="97">
        <f t="shared" si="76"/>
        <v>10</v>
      </c>
      <c r="CE116" s="97"/>
      <c r="CF116" s="97"/>
      <c r="CG116" s="97"/>
      <c r="CH116" s="492"/>
      <c r="CI116" s="492"/>
      <c r="CJ116" s="492"/>
      <c r="CK116" s="492"/>
      <c r="CL116" s="492"/>
      <c r="CM116" s="492"/>
      <c r="CO116" s="530">
        <f t="array" ref="CO116">SUM($F116:$CG116*$F$11:$CG$11)</f>
        <v>31</v>
      </c>
      <c r="CP116" s="531"/>
      <c r="DS116" s="492"/>
      <c r="DT116" s="492"/>
      <c r="DU116" s="492"/>
      <c r="DV116" s="492"/>
      <c r="DW116" s="492"/>
      <c r="DX116" s="492"/>
      <c r="DY116" s="492"/>
      <c r="DZ116" s="492"/>
      <c r="EC116" s="492"/>
    </row>
    <row r="117" spans="1:133" s="64" customFormat="1" ht="14.25" hidden="1" customHeight="1" x14ac:dyDescent="0.2">
      <c r="A117" s="58" t="s">
        <v>39</v>
      </c>
      <c r="B117" s="58" t="s">
        <v>7</v>
      </c>
      <c r="C117" s="58"/>
      <c r="D117" s="58"/>
      <c r="E117" s="58"/>
      <c r="F117" s="62">
        <f t="shared" ref="F117:Q117" si="84">F115*F116/100*F$11</f>
        <v>0</v>
      </c>
      <c r="G117" s="62">
        <f t="shared" si="84"/>
        <v>0</v>
      </c>
      <c r="H117" s="62">
        <f t="shared" si="84"/>
        <v>0</v>
      </c>
      <c r="I117" s="62">
        <f t="shared" si="84"/>
        <v>0</v>
      </c>
      <c r="J117" s="62">
        <f t="shared" si="84"/>
        <v>0</v>
      </c>
      <c r="K117" s="62">
        <f t="shared" si="84"/>
        <v>0</v>
      </c>
      <c r="L117" s="62">
        <f t="shared" si="84"/>
        <v>0</v>
      </c>
      <c r="M117" s="62">
        <f t="shared" si="84"/>
        <v>0</v>
      </c>
      <c r="N117" s="62">
        <f t="shared" si="84"/>
        <v>0</v>
      </c>
      <c r="O117" s="62">
        <f t="shared" si="84"/>
        <v>0</v>
      </c>
      <c r="P117" s="62">
        <f t="shared" si="84"/>
        <v>0</v>
      </c>
      <c r="Q117" s="62">
        <f t="shared" si="84"/>
        <v>0</v>
      </c>
      <c r="R117" s="62">
        <f t="shared" ref="R117:V117" si="85">R115*R116/100*R$11</f>
        <v>0</v>
      </c>
      <c r="S117" s="62"/>
      <c r="T117" s="62">
        <f t="shared" si="85"/>
        <v>0</v>
      </c>
      <c r="U117" s="62"/>
      <c r="V117" s="62">
        <f t="shared" si="85"/>
        <v>0</v>
      </c>
      <c r="W117" s="62">
        <f t="shared" ref="W117:AF117" si="86">W115*W116/100*W$11</f>
        <v>0</v>
      </c>
      <c r="X117" s="62">
        <f t="shared" si="86"/>
        <v>0</v>
      </c>
      <c r="Y117" s="62">
        <f t="shared" si="86"/>
        <v>0</v>
      </c>
      <c r="Z117" s="62">
        <f t="shared" si="86"/>
        <v>0</v>
      </c>
      <c r="AA117" s="62">
        <f t="shared" si="86"/>
        <v>0</v>
      </c>
      <c r="AB117" s="62">
        <f t="shared" si="86"/>
        <v>0</v>
      </c>
      <c r="AC117" s="62">
        <f t="shared" si="86"/>
        <v>0</v>
      </c>
      <c r="AD117" s="62">
        <f t="shared" si="86"/>
        <v>0</v>
      </c>
      <c r="AE117" s="62">
        <f t="shared" si="86"/>
        <v>0</v>
      </c>
      <c r="AF117" s="62">
        <f t="shared" si="86"/>
        <v>0</v>
      </c>
      <c r="AG117" s="62">
        <f t="shared" ref="AG117:AX117" si="87">AG115*AG116/100*AG$11</f>
        <v>0</v>
      </c>
      <c r="AH117" s="62">
        <f t="shared" si="87"/>
        <v>0</v>
      </c>
      <c r="AI117" s="62">
        <f t="shared" si="87"/>
        <v>0.25</v>
      </c>
      <c r="AJ117" s="62">
        <f t="shared" si="87"/>
        <v>0</v>
      </c>
      <c r="AK117" s="62">
        <f t="shared" si="87"/>
        <v>0</v>
      </c>
      <c r="AL117" s="62">
        <f t="shared" si="87"/>
        <v>0</v>
      </c>
      <c r="AM117" s="62"/>
      <c r="AN117" s="62"/>
      <c r="AO117" s="62"/>
      <c r="AP117" s="62">
        <f t="shared" si="87"/>
        <v>0</v>
      </c>
      <c r="AQ117" s="62">
        <f t="shared" si="87"/>
        <v>0</v>
      </c>
      <c r="AR117" s="62">
        <f t="shared" si="87"/>
        <v>0</v>
      </c>
      <c r="AS117" s="62">
        <f t="shared" si="87"/>
        <v>0</v>
      </c>
      <c r="AT117" s="62">
        <f t="shared" si="87"/>
        <v>0</v>
      </c>
      <c r="AU117" s="62">
        <f t="shared" si="87"/>
        <v>0</v>
      </c>
      <c r="AV117" s="62">
        <f t="shared" si="87"/>
        <v>0</v>
      </c>
      <c r="AW117" s="62">
        <f t="shared" si="87"/>
        <v>0</v>
      </c>
      <c r="AX117" s="62">
        <f t="shared" si="87"/>
        <v>0</v>
      </c>
      <c r="AY117" s="62">
        <f>AY115*AY116/100*AY$11</f>
        <v>0</v>
      </c>
      <c r="AZ117" s="62">
        <f>AZ115*AZ116/100*AZ$11</f>
        <v>0</v>
      </c>
      <c r="BA117" s="62">
        <f>BA115*BA116/100*BA$11</f>
        <v>0</v>
      </c>
      <c r="BB117" s="62">
        <f t="shared" ref="BB117:BI117" si="88">BB115*BB116/100*BB$11</f>
        <v>0</v>
      </c>
      <c r="BC117" s="62">
        <f t="shared" si="88"/>
        <v>0</v>
      </c>
      <c r="BD117" s="62">
        <f t="shared" si="88"/>
        <v>0</v>
      </c>
      <c r="BE117" s="62">
        <f t="shared" si="88"/>
        <v>0</v>
      </c>
      <c r="BF117" s="62">
        <f t="shared" si="88"/>
        <v>0</v>
      </c>
      <c r="BG117" s="62">
        <f t="shared" si="88"/>
        <v>0</v>
      </c>
      <c r="BH117" s="62">
        <f t="shared" si="88"/>
        <v>0</v>
      </c>
      <c r="BI117" s="62">
        <f t="shared" si="88"/>
        <v>0</v>
      </c>
      <c r="BJ117" s="62"/>
      <c r="BK117" s="62">
        <f>BK115*BK116/100*BK$11</f>
        <v>0.5</v>
      </c>
      <c r="BL117" s="62">
        <f>BL115*BL116/100*BL$11</f>
        <v>0</v>
      </c>
      <c r="BM117" s="62">
        <f>BM115*BM116/100*BM$11</f>
        <v>0</v>
      </c>
      <c r="BN117" s="62"/>
      <c r="BO117" s="62">
        <f t="shared" ref="BO117" si="89">BO115*BO116/100*BO$11</f>
        <v>0.5</v>
      </c>
      <c r="BP117" s="673">
        <f t="shared" ref="BP117:BR117" si="90">BP115*BP116/100*BP$11</f>
        <v>0</v>
      </c>
      <c r="BQ117" s="673">
        <f t="shared" si="90"/>
        <v>0</v>
      </c>
      <c r="BR117" s="673">
        <f t="shared" si="90"/>
        <v>1.7</v>
      </c>
      <c r="BS117" s="62"/>
      <c r="BT117" s="62"/>
      <c r="BU117" s="62"/>
      <c r="BV117" s="62"/>
      <c r="BW117" s="62"/>
      <c r="BX117" s="62"/>
      <c r="BY117" s="62"/>
      <c r="BZ117" s="62"/>
      <c r="CA117" s="62"/>
      <c r="CB117" s="62">
        <f>CB115*CB116/100*CB$11</f>
        <v>0</v>
      </c>
      <c r="CC117" s="62">
        <f>CC115*CC116/100*CC$11</f>
        <v>0</v>
      </c>
      <c r="CD117" s="62">
        <f>CD115*CD116/100*CD$11</f>
        <v>1.7</v>
      </c>
      <c r="CE117" s="62"/>
      <c r="CF117" s="62"/>
      <c r="CG117" s="62"/>
      <c r="CH117" s="696"/>
      <c r="CI117" s="696"/>
      <c r="CJ117" s="696"/>
      <c r="CK117" s="696"/>
      <c r="CL117" s="696"/>
      <c r="CM117" s="696"/>
      <c r="CO117" s="648">
        <f t="array" ref="CO117">SUM($F117:$CG117*$F$11:$CG$11)</f>
        <v>4.6500000000000004</v>
      </c>
      <c r="CP117" s="649"/>
      <c r="DS117" s="644"/>
      <c r="DT117" s="644"/>
      <c r="DU117" s="644"/>
      <c r="DV117" s="644"/>
      <c r="DW117" s="644"/>
      <c r="DX117" s="644"/>
      <c r="DY117" s="644"/>
      <c r="DZ117" s="644"/>
      <c r="EC117" s="644"/>
    </row>
    <row r="118" spans="1:133" s="70" customFormat="1" ht="14.25" hidden="1" customHeight="1" x14ac:dyDescent="0.2">
      <c r="A118" s="67" t="s">
        <v>8</v>
      </c>
      <c r="B118" s="60" t="s">
        <v>7</v>
      </c>
      <c r="C118" s="67" t="s">
        <v>41</v>
      </c>
      <c r="D118" s="67"/>
      <c r="E118" s="67"/>
      <c r="F118" s="69"/>
      <c r="G118" s="69"/>
      <c r="H118" s="69">
        <v>1</v>
      </c>
      <c r="I118" s="69"/>
      <c r="J118" s="69"/>
      <c r="K118" s="69">
        <v>1</v>
      </c>
      <c r="L118" s="69"/>
      <c r="M118" s="69"/>
      <c r="N118" s="69">
        <v>1</v>
      </c>
      <c r="O118" s="69"/>
      <c r="P118" s="69"/>
      <c r="Q118" s="69">
        <v>1</v>
      </c>
      <c r="R118" s="69"/>
      <c r="S118" s="69"/>
      <c r="T118" s="69"/>
      <c r="U118" s="69"/>
      <c r="V118" s="69">
        <v>1</v>
      </c>
      <c r="W118" s="69"/>
      <c r="X118" s="69"/>
      <c r="Y118" s="69"/>
      <c r="Z118" s="69"/>
      <c r="AA118" s="69">
        <v>1</v>
      </c>
      <c r="AB118" s="69"/>
      <c r="AC118" s="69"/>
      <c r="AD118" s="69"/>
      <c r="AE118" s="69"/>
      <c r="AF118" s="69">
        <v>1</v>
      </c>
      <c r="AG118" s="69"/>
      <c r="AH118" s="69"/>
      <c r="AI118" s="69">
        <v>1</v>
      </c>
      <c r="AJ118" s="69"/>
      <c r="AK118" s="69"/>
      <c r="AL118" s="69">
        <v>1</v>
      </c>
      <c r="AM118" s="69"/>
      <c r="AN118" s="69"/>
      <c r="AO118" s="69"/>
      <c r="AP118" s="69"/>
      <c r="AQ118" s="69"/>
      <c r="AR118" s="69">
        <v>1</v>
      </c>
      <c r="AS118" s="67"/>
      <c r="AT118" s="67"/>
      <c r="AU118" s="67">
        <v>1</v>
      </c>
      <c r="AV118" s="67"/>
      <c r="AW118" s="67"/>
      <c r="AX118" s="67">
        <v>1</v>
      </c>
      <c r="AY118" s="67"/>
      <c r="AZ118" s="67"/>
      <c r="BA118" s="67">
        <v>1</v>
      </c>
      <c r="BB118" s="67"/>
      <c r="BC118" s="67"/>
      <c r="BD118" s="67">
        <v>1</v>
      </c>
      <c r="BE118" s="67"/>
      <c r="BF118" s="67"/>
      <c r="BG118" s="67">
        <v>1</v>
      </c>
      <c r="BH118" s="67"/>
      <c r="BI118" s="67"/>
      <c r="BJ118" s="67"/>
      <c r="BK118" s="67">
        <v>1</v>
      </c>
      <c r="BL118" s="67"/>
      <c r="BM118" s="67"/>
      <c r="BN118" s="67"/>
      <c r="BO118" s="67">
        <v>1</v>
      </c>
      <c r="BP118" s="67"/>
      <c r="BQ118" s="67"/>
      <c r="BR118" s="67">
        <v>1</v>
      </c>
      <c r="BS118" s="67"/>
      <c r="BT118" s="67"/>
      <c r="BU118" s="67"/>
      <c r="BV118" s="67"/>
      <c r="BW118" s="67"/>
      <c r="BX118" s="67"/>
      <c r="BY118" s="67"/>
      <c r="BZ118" s="67"/>
      <c r="CA118" s="67"/>
      <c r="CB118" s="67"/>
      <c r="CC118" s="67"/>
      <c r="CD118" s="67">
        <v>1</v>
      </c>
      <c r="CE118" s="67"/>
      <c r="CF118" s="67"/>
      <c r="CG118" s="67"/>
      <c r="CH118" s="645"/>
      <c r="CI118" s="645"/>
      <c r="CJ118" s="645"/>
      <c r="CK118" s="645"/>
      <c r="CL118" s="645"/>
      <c r="CM118" s="645"/>
      <c r="CO118" s="142"/>
      <c r="CP118" s="151"/>
      <c r="CQ118" s="33"/>
      <c r="DR118" s="33"/>
      <c r="DS118" s="146"/>
      <c r="DT118" s="146"/>
      <c r="DU118" s="146"/>
      <c r="DV118" s="146"/>
      <c r="DW118" s="146"/>
      <c r="DX118" s="146"/>
      <c r="DY118" s="146"/>
      <c r="DZ118" s="146"/>
      <c r="EC118" s="146"/>
    </row>
    <row r="119" spans="1:133" ht="14.25" hidden="1" customHeight="1" x14ac:dyDescent="0.2">
      <c r="BF119" s="604"/>
      <c r="CO119" s="129"/>
    </row>
    <row r="120" spans="1:133" s="46" customFormat="1" ht="14.25" hidden="1" customHeight="1" x14ac:dyDescent="0.2">
      <c r="A120" s="97" t="s">
        <v>13</v>
      </c>
      <c r="B120" s="97" t="s">
        <v>37</v>
      </c>
      <c r="C120" s="97" t="s">
        <v>28</v>
      </c>
      <c r="D120" s="97"/>
      <c r="E120" s="97"/>
      <c r="F120" s="529">
        <v>28</v>
      </c>
      <c r="G120" s="529">
        <v>28</v>
      </c>
      <c r="H120" s="529">
        <v>28</v>
      </c>
      <c r="I120" s="529">
        <v>28</v>
      </c>
      <c r="J120" s="529">
        <v>28</v>
      </c>
      <c r="K120" s="529">
        <v>28</v>
      </c>
      <c r="L120" s="529">
        <v>28</v>
      </c>
      <c r="M120" s="529">
        <v>28</v>
      </c>
      <c r="N120" s="529">
        <v>28</v>
      </c>
      <c r="O120" s="529">
        <v>28</v>
      </c>
      <c r="P120" s="529">
        <v>28</v>
      </c>
      <c r="Q120" s="529">
        <v>28</v>
      </c>
      <c r="R120" s="529">
        <v>28</v>
      </c>
      <c r="S120" s="529"/>
      <c r="T120" s="529">
        <v>28</v>
      </c>
      <c r="U120" s="529"/>
      <c r="V120" s="529">
        <v>28</v>
      </c>
      <c r="W120" s="529">
        <v>28</v>
      </c>
      <c r="X120" s="529">
        <v>28</v>
      </c>
      <c r="Y120" s="529">
        <v>28</v>
      </c>
      <c r="Z120" s="529">
        <v>28</v>
      </c>
      <c r="AA120" s="529">
        <v>28</v>
      </c>
      <c r="AB120" s="529">
        <v>28</v>
      </c>
      <c r="AC120" s="529">
        <v>28</v>
      </c>
      <c r="AD120" s="529">
        <v>28</v>
      </c>
      <c r="AE120" s="529">
        <v>28</v>
      </c>
      <c r="AF120" s="529">
        <v>28</v>
      </c>
      <c r="AG120" s="529">
        <v>28</v>
      </c>
      <c r="AH120" s="529">
        <v>28</v>
      </c>
      <c r="AI120" s="529">
        <v>28</v>
      </c>
      <c r="AJ120" s="529">
        <v>28</v>
      </c>
      <c r="AK120" s="529">
        <v>28</v>
      </c>
      <c r="AL120" s="529">
        <v>28</v>
      </c>
      <c r="AM120" s="529"/>
      <c r="AN120" s="529"/>
      <c r="AO120" s="529"/>
      <c r="AP120" s="529">
        <v>28</v>
      </c>
      <c r="AQ120" s="529">
        <v>28</v>
      </c>
      <c r="AR120" s="529">
        <v>28</v>
      </c>
      <c r="AS120" s="97">
        <v>20</v>
      </c>
      <c r="AT120" s="97">
        <v>20</v>
      </c>
      <c r="AU120" s="97">
        <v>20</v>
      </c>
      <c r="AV120" s="97">
        <v>20</v>
      </c>
      <c r="AW120" s="97">
        <v>20</v>
      </c>
      <c r="AX120" s="97">
        <v>20</v>
      </c>
      <c r="AY120" s="97">
        <v>20</v>
      </c>
      <c r="AZ120" s="97">
        <v>20</v>
      </c>
      <c r="BA120" s="97">
        <v>20</v>
      </c>
      <c r="BB120" s="97">
        <f>8*2</f>
        <v>16</v>
      </c>
      <c r="BC120" s="97">
        <v>16</v>
      </c>
      <c r="BD120" s="97">
        <v>16</v>
      </c>
      <c r="BE120" s="97">
        <v>16</v>
      </c>
      <c r="BF120" s="97">
        <v>16</v>
      </c>
      <c r="BG120" s="97">
        <v>16</v>
      </c>
      <c r="BH120" s="97">
        <v>16</v>
      </c>
      <c r="BI120" s="97">
        <v>16</v>
      </c>
      <c r="BJ120" s="97">
        <v>16</v>
      </c>
      <c r="BK120" s="97">
        <v>16</v>
      </c>
      <c r="BL120" s="97">
        <v>16</v>
      </c>
      <c r="BM120" s="97">
        <v>16</v>
      </c>
      <c r="BN120" s="97">
        <v>16</v>
      </c>
      <c r="BO120" s="97">
        <v>16</v>
      </c>
      <c r="BP120" s="97">
        <v>0</v>
      </c>
      <c r="BQ120" s="97">
        <v>0</v>
      </c>
      <c r="BR120" s="97">
        <v>0</v>
      </c>
      <c r="BS120" s="97"/>
      <c r="BT120" s="97"/>
      <c r="BU120" s="97"/>
      <c r="BV120" s="97"/>
      <c r="BW120" s="97"/>
      <c r="BX120" s="97"/>
      <c r="BY120" s="97"/>
      <c r="BZ120" s="97"/>
      <c r="CA120" s="97"/>
      <c r="CB120" s="97">
        <v>0</v>
      </c>
      <c r="CC120" s="97">
        <v>0</v>
      </c>
      <c r="CD120" s="97">
        <v>0</v>
      </c>
      <c r="CE120" s="97"/>
      <c r="CF120" s="97"/>
      <c r="CG120" s="97"/>
      <c r="CH120" s="492"/>
      <c r="CI120" s="492"/>
      <c r="CJ120" s="492"/>
      <c r="CK120" s="492"/>
      <c r="CL120" s="492"/>
      <c r="CM120" s="492"/>
      <c r="CO120" s="532"/>
      <c r="CP120" s="531"/>
      <c r="DS120" s="492"/>
      <c r="DT120" s="492"/>
      <c r="DU120" s="492"/>
      <c r="DV120" s="492"/>
      <c r="DW120" s="492"/>
      <c r="DX120" s="492"/>
      <c r="DY120" s="492"/>
      <c r="DZ120" s="492"/>
      <c r="EC120" s="492"/>
    </row>
    <row r="121" spans="1:133" s="46" customFormat="1" ht="14.25" hidden="1" customHeight="1" x14ac:dyDescent="0.2">
      <c r="A121" s="97" t="s">
        <v>14</v>
      </c>
      <c r="B121" s="97" t="s">
        <v>37</v>
      </c>
      <c r="C121" s="97" t="s">
        <v>28</v>
      </c>
      <c r="D121" s="97"/>
      <c r="E121" s="97"/>
      <c r="F121" s="132">
        <v>0</v>
      </c>
      <c r="G121" s="132">
        <v>0</v>
      </c>
      <c r="H121" s="132">
        <v>0</v>
      </c>
      <c r="I121" s="132">
        <v>0</v>
      </c>
      <c r="J121" s="132">
        <v>0</v>
      </c>
      <c r="K121" s="132">
        <v>0</v>
      </c>
      <c r="L121" s="132">
        <v>0</v>
      </c>
      <c r="M121" s="132">
        <v>0</v>
      </c>
      <c r="N121" s="132">
        <v>0</v>
      </c>
      <c r="O121" s="132">
        <v>0</v>
      </c>
      <c r="P121" s="132">
        <v>0</v>
      </c>
      <c r="Q121" s="132">
        <v>0</v>
      </c>
      <c r="R121" s="132">
        <v>0</v>
      </c>
      <c r="S121" s="132"/>
      <c r="T121" s="132">
        <v>0</v>
      </c>
      <c r="U121" s="132"/>
      <c r="V121" s="132">
        <v>0</v>
      </c>
      <c r="W121" s="132">
        <v>0</v>
      </c>
      <c r="X121" s="132">
        <v>0</v>
      </c>
      <c r="Y121" s="132">
        <v>0</v>
      </c>
      <c r="Z121" s="132">
        <v>0</v>
      </c>
      <c r="AA121" s="132">
        <v>0</v>
      </c>
      <c r="AB121" s="132">
        <v>0</v>
      </c>
      <c r="AC121" s="132">
        <v>0</v>
      </c>
      <c r="AD121" s="132">
        <v>0</v>
      </c>
      <c r="AE121" s="132">
        <v>0</v>
      </c>
      <c r="AF121" s="132">
        <v>0</v>
      </c>
      <c r="AG121" s="132">
        <v>0</v>
      </c>
      <c r="AH121" s="132">
        <v>0</v>
      </c>
      <c r="AI121" s="132">
        <v>0</v>
      </c>
      <c r="AJ121" s="132">
        <v>0</v>
      </c>
      <c r="AK121" s="132">
        <v>0</v>
      </c>
      <c r="AL121" s="132">
        <v>0</v>
      </c>
      <c r="AM121" s="132"/>
      <c r="AN121" s="132"/>
      <c r="AO121" s="132"/>
      <c r="AP121" s="132">
        <v>0</v>
      </c>
      <c r="AQ121" s="132">
        <v>0</v>
      </c>
      <c r="AR121" s="132">
        <v>0</v>
      </c>
      <c r="AS121" s="97">
        <v>6</v>
      </c>
      <c r="AT121" s="97">
        <v>6</v>
      </c>
      <c r="AU121" s="97">
        <v>6</v>
      </c>
      <c r="AV121" s="97">
        <v>6</v>
      </c>
      <c r="AW121" s="97">
        <v>6</v>
      </c>
      <c r="AX121" s="97">
        <v>6</v>
      </c>
      <c r="AY121" s="97">
        <v>6</v>
      </c>
      <c r="AZ121" s="97">
        <v>6</v>
      </c>
      <c r="BA121" s="97">
        <v>6</v>
      </c>
      <c r="BB121" s="97">
        <v>4</v>
      </c>
      <c r="BC121" s="97">
        <v>4</v>
      </c>
      <c r="BD121" s="97">
        <v>4</v>
      </c>
      <c r="BE121" s="97">
        <v>0</v>
      </c>
      <c r="BF121" s="97">
        <v>0</v>
      </c>
      <c r="BG121" s="97">
        <v>0</v>
      </c>
      <c r="BH121" s="97">
        <v>0</v>
      </c>
      <c r="BI121" s="97">
        <v>0</v>
      </c>
      <c r="BJ121" s="97">
        <v>0</v>
      </c>
      <c r="BK121" s="97">
        <v>0</v>
      </c>
      <c r="BL121" s="97">
        <v>0</v>
      </c>
      <c r="BM121" s="97">
        <v>0</v>
      </c>
      <c r="BN121" s="97">
        <v>0</v>
      </c>
      <c r="BO121" s="97">
        <v>0</v>
      </c>
      <c r="BP121" s="97">
        <v>0</v>
      </c>
      <c r="BQ121" s="97">
        <v>0</v>
      </c>
      <c r="BR121" s="97">
        <v>0</v>
      </c>
      <c r="BS121" s="97"/>
      <c r="BT121" s="97"/>
      <c r="BU121" s="97"/>
      <c r="BV121" s="97"/>
      <c r="BW121" s="97"/>
      <c r="BX121" s="97"/>
      <c r="BY121" s="97"/>
      <c r="BZ121" s="97"/>
      <c r="CA121" s="97"/>
      <c r="CB121" s="97">
        <v>0</v>
      </c>
      <c r="CC121" s="97">
        <v>0</v>
      </c>
      <c r="CD121" s="97">
        <v>0</v>
      </c>
      <c r="CE121" s="97"/>
      <c r="CF121" s="97"/>
      <c r="CG121" s="97"/>
      <c r="CH121" s="492"/>
      <c r="CI121" s="492"/>
      <c r="CJ121" s="492"/>
      <c r="CK121" s="492"/>
      <c r="CL121" s="492"/>
      <c r="CM121" s="492"/>
      <c r="CO121" s="532">
        <f t="array" ref="CO121">SUM($F121:$CG121*$F$11:$CG$11)</f>
        <v>0</v>
      </c>
      <c r="CP121" s="531"/>
      <c r="DS121" s="492"/>
      <c r="DT121" s="492"/>
      <c r="DU121" s="492"/>
      <c r="DV121" s="492"/>
      <c r="DW121" s="492"/>
      <c r="DX121" s="492"/>
      <c r="DY121" s="492"/>
      <c r="DZ121" s="492"/>
      <c r="EC121" s="492"/>
    </row>
    <row r="122" spans="1:133" s="64" customFormat="1" ht="14.25" hidden="1" customHeight="1" x14ac:dyDescent="0.2">
      <c r="A122" s="58" t="s">
        <v>39</v>
      </c>
      <c r="B122" s="58" t="s">
        <v>37</v>
      </c>
      <c r="C122" s="58"/>
      <c r="D122" s="58"/>
      <c r="E122" s="58"/>
      <c r="F122" s="62">
        <f t="shared" ref="F122:Q122" si="91">F120*F121/100*F$11</f>
        <v>0</v>
      </c>
      <c r="G122" s="62">
        <f t="shared" si="91"/>
        <v>0</v>
      </c>
      <c r="H122" s="62">
        <f t="shared" si="91"/>
        <v>0</v>
      </c>
      <c r="I122" s="62">
        <f t="shared" si="91"/>
        <v>0</v>
      </c>
      <c r="J122" s="62">
        <f t="shared" si="91"/>
        <v>0</v>
      </c>
      <c r="K122" s="62">
        <f t="shared" si="91"/>
        <v>0</v>
      </c>
      <c r="L122" s="62">
        <f t="shared" si="91"/>
        <v>0</v>
      </c>
      <c r="M122" s="62">
        <f t="shared" si="91"/>
        <v>0</v>
      </c>
      <c r="N122" s="62">
        <f t="shared" si="91"/>
        <v>0</v>
      </c>
      <c r="O122" s="62">
        <f t="shared" si="91"/>
        <v>0</v>
      </c>
      <c r="P122" s="62">
        <f t="shared" si="91"/>
        <v>0</v>
      </c>
      <c r="Q122" s="62">
        <f t="shared" si="91"/>
        <v>0</v>
      </c>
      <c r="R122" s="62">
        <f t="shared" ref="R122:V122" si="92">R120*R121/100*R$11</f>
        <v>0</v>
      </c>
      <c r="S122" s="62"/>
      <c r="T122" s="62">
        <f t="shared" si="92"/>
        <v>0</v>
      </c>
      <c r="U122" s="62"/>
      <c r="V122" s="62">
        <f t="shared" si="92"/>
        <v>0</v>
      </c>
      <c r="W122" s="62">
        <f t="shared" ref="W122:AF122" si="93">W120*W121/100*W$11</f>
        <v>0</v>
      </c>
      <c r="X122" s="62">
        <f t="shared" ref="X122:Y122" si="94">X120*X121/100*X$11</f>
        <v>0</v>
      </c>
      <c r="Y122" s="62">
        <f t="shared" si="94"/>
        <v>0</v>
      </c>
      <c r="Z122" s="62">
        <f t="shared" si="93"/>
        <v>0</v>
      </c>
      <c r="AA122" s="62">
        <f t="shared" si="93"/>
        <v>0</v>
      </c>
      <c r="AB122" s="62">
        <f t="shared" si="93"/>
        <v>0</v>
      </c>
      <c r="AC122" s="62">
        <f t="shared" si="93"/>
        <v>0</v>
      </c>
      <c r="AD122" s="62">
        <f t="shared" si="93"/>
        <v>0</v>
      </c>
      <c r="AE122" s="62">
        <f t="shared" si="93"/>
        <v>0</v>
      </c>
      <c r="AF122" s="62">
        <f t="shared" si="93"/>
        <v>0</v>
      </c>
      <c r="AG122" s="62">
        <f t="shared" ref="AG122:AX122" si="95">AG120*AG121/100*AG$11</f>
        <v>0</v>
      </c>
      <c r="AH122" s="62">
        <f t="shared" si="95"/>
        <v>0</v>
      </c>
      <c r="AI122" s="62">
        <f t="shared" si="95"/>
        <v>0</v>
      </c>
      <c r="AJ122" s="62">
        <f t="shared" si="95"/>
        <v>0</v>
      </c>
      <c r="AK122" s="62">
        <f t="shared" si="95"/>
        <v>0</v>
      </c>
      <c r="AL122" s="62">
        <f t="shared" si="95"/>
        <v>0</v>
      </c>
      <c r="AM122" s="62"/>
      <c r="AN122" s="62"/>
      <c r="AO122" s="62"/>
      <c r="AP122" s="62">
        <f t="shared" si="95"/>
        <v>0</v>
      </c>
      <c r="AQ122" s="62">
        <f t="shared" si="95"/>
        <v>0</v>
      </c>
      <c r="AR122" s="62">
        <f t="shared" si="95"/>
        <v>0</v>
      </c>
      <c r="AS122" s="62">
        <f t="shared" si="95"/>
        <v>0</v>
      </c>
      <c r="AT122" s="62">
        <f t="shared" si="95"/>
        <v>0</v>
      </c>
      <c r="AU122" s="62">
        <f t="shared" si="95"/>
        <v>0</v>
      </c>
      <c r="AV122" s="62">
        <f t="shared" si="95"/>
        <v>0</v>
      </c>
      <c r="AW122" s="62">
        <f t="shared" si="95"/>
        <v>0</v>
      </c>
      <c r="AX122" s="62">
        <f t="shared" si="95"/>
        <v>0</v>
      </c>
      <c r="AY122" s="62">
        <f t="shared" ref="AY122:BI122" si="96">AY120*AY121/100*AY$11</f>
        <v>0</v>
      </c>
      <c r="AZ122" s="62">
        <f t="shared" si="96"/>
        <v>0</v>
      </c>
      <c r="BA122" s="62">
        <f t="shared" si="96"/>
        <v>0</v>
      </c>
      <c r="BB122" s="62">
        <f t="shared" si="96"/>
        <v>0</v>
      </c>
      <c r="BC122" s="62">
        <f t="shared" si="96"/>
        <v>0</v>
      </c>
      <c r="BD122" s="62">
        <f t="shared" si="96"/>
        <v>0</v>
      </c>
      <c r="BE122" s="62">
        <f t="shared" si="96"/>
        <v>0</v>
      </c>
      <c r="BF122" s="62">
        <f t="shared" si="96"/>
        <v>0</v>
      </c>
      <c r="BG122" s="62">
        <f t="shared" si="96"/>
        <v>0</v>
      </c>
      <c r="BH122" s="62">
        <f t="shared" si="96"/>
        <v>0</v>
      </c>
      <c r="BI122" s="62">
        <f t="shared" si="96"/>
        <v>0</v>
      </c>
      <c r="BJ122" s="62"/>
      <c r="BK122" s="62">
        <f>BK120*BK121/100*BK$11</f>
        <v>0</v>
      </c>
      <c r="BL122" s="62">
        <f>BL120*BL121/100*BL$11</f>
        <v>0</v>
      </c>
      <c r="BM122" s="62">
        <f>BM120*BM121/100*BM$11</f>
        <v>0</v>
      </c>
      <c r="BN122" s="62"/>
      <c r="BO122" s="62">
        <f t="shared" ref="BO122" si="97">BO120*BO121/100*BO$11</f>
        <v>0</v>
      </c>
      <c r="BP122" s="673">
        <f t="shared" ref="BP122:BR122" si="98">BP120*BP121/100*BP$11</f>
        <v>0</v>
      </c>
      <c r="BQ122" s="673">
        <f t="shared" si="98"/>
        <v>0</v>
      </c>
      <c r="BR122" s="673">
        <f t="shared" si="98"/>
        <v>0</v>
      </c>
      <c r="BS122" s="62"/>
      <c r="BT122" s="62"/>
      <c r="BU122" s="62"/>
      <c r="BV122" s="62"/>
      <c r="BW122" s="62"/>
      <c r="BX122" s="62"/>
      <c r="BY122" s="62"/>
      <c r="BZ122" s="62"/>
      <c r="CA122" s="62"/>
      <c r="CB122" s="62">
        <f>CB120*CB121/100*CB$11</f>
        <v>0</v>
      </c>
      <c r="CC122" s="62">
        <f>CC120*CC121/100*CC$11</f>
        <v>0</v>
      </c>
      <c r="CD122" s="62">
        <f>CD120*CD121/100*CD$11</f>
        <v>0</v>
      </c>
      <c r="CE122" s="62"/>
      <c r="CF122" s="62"/>
      <c r="CG122" s="62"/>
      <c r="CH122" s="696"/>
      <c r="CI122" s="696"/>
      <c r="CJ122" s="696"/>
      <c r="CK122" s="696"/>
      <c r="CL122" s="696"/>
      <c r="CM122" s="696"/>
      <c r="CO122" s="648">
        <f t="array" ref="CO122">SUM($F122:$CG122*$F$11:$CG$11)</f>
        <v>0</v>
      </c>
      <c r="CP122" s="649"/>
      <c r="DS122" s="644"/>
      <c r="DT122" s="644"/>
      <c r="DU122" s="644"/>
      <c r="DV122" s="644"/>
      <c r="DW122" s="644"/>
      <c r="DX122" s="644"/>
      <c r="DY122" s="644"/>
      <c r="DZ122" s="644"/>
      <c r="EC122" s="644"/>
    </row>
    <row r="123" spans="1:133" s="70" customFormat="1" ht="14.25" hidden="1" customHeight="1" x14ac:dyDescent="0.2">
      <c r="A123" s="67" t="s">
        <v>8</v>
      </c>
      <c r="B123" s="131" t="s">
        <v>37</v>
      </c>
      <c r="C123" s="67" t="s">
        <v>41</v>
      </c>
      <c r="D123" s="67"/>
      <c r="E123" s="67"/>
      <c r="F123" s="69"/>
      <c r="G123" s="69"/>
      <c r="H123" s="69">
        <v>1</v>
      </c>
      <c r="I123" s="69"/>
      <c r="J123" s="69"/>
      <c r="K123" s="69">
        <v>1</v>
      </c>
      <c r="L123" s="69"/>
      <c r="M123" s="69"/>
      <c r="N123" s="69">
        <v>1</v>
      </c>
      <c r="O123" s="69"/>
      <c r="P123" s="69"/>
      <c r="Q123" s="69">
        <v>1</v>
      </c>
      <c r="R123" s="69"/>
      <c r="S123" s="69"/>
      <c r="T123" s="69"/>
      <c r="U123" s="69"/>
      <c r="V123" s="69">
        <v>1</v>
      </c>
      <c r="W123" s="69"/>
      <c r="X123" s="69"/>
      <c r="Y123" s="69"/>
      <c r="Z123" s="69"/>
      <c r="AA123" s="69">
        <v>1</v>
      </c>
      <c r="AB123" s="69"/>
      <c r="AC123" s="69"/>
      <c r="AD123" s="69"/>
      <c r="AE123" s="69"/>
      <c r="AF123" s="69">
        <v>1</v>
      </c>
      <c r="AG123" s="69"/>
      <c r="AH123" s="69"/>
      <c r="AI123" s="69">
        <v>1</v>
      </c>
      <c r="AJ123" s="69"/>
      <c r="AK123" s="69"/>
      <c r="AL123" s="69">
        <v>1</v>
      </c>
      <c r="AM123" s="69"/>
      <c r="AN123" s="69"/>
      <c r="AO123" s="69"/>
      <c r="AP123" s="69"/>
      <c r="AQ123" s="69"/>
      <c r="AR123" s="69">
        <v>1</v>
      </c>
      <c r="AS123" s="67"/>
      <c r="AT123" s="67"/>
      <c r="AU123" s="67">
        <v>1</v>
      </c>
      <c r="AV123" s="67"/>
      <c r="AW123" s="67"/>
      <c r="AX123" s="67">
        <v>1</v>
      </c>
      <c r="AY123" s="67"/>
      <c r="AZ123" s="67"/>
      <c r="BA123" s="67">
        <v>1</v>
      </c>
      <c r="BB123" s="67"/>
      <c r="BC123" s="67"/>
      <c r="BD123" s="67">
        <v>1</v>
      </c>
      <c r="BE123" s="67"/>
      <c r="BF123" s="67"/>
      <c r="BG123" s="67">
        <v>1</v>
      </c>
      <c r="BH123" s="67"/>
      <c r="BI123" s="67"/>
      <c r="BJ123" s="67"/>
      <c r="BK123" s="67">
        <v>1</v>
      </c>
      <c r="BL123" s="67"/>
      <c r="BM123" s="67"/>
      <c r="BN123" s="67"/>
      <c r="BO123" s="67">
        <v>1</v>
      </c>
      <c r="BP123" s="67"/>
      <c r="BQ123" s="67"/>
      <c r="BR123" s="67">
        <v>1</v>
      </c>
      <c r="BS123" s="67"/>
      <c r="BT123" s="67"/>
      <c r="BU123" s="67"/>
      <c r="BV123" s="67"/>
      <c r="BW123" s="67"/>
      <c r="BX123" s="67"/>
      <c r="BY123" s="67"/>
      <c r="BZ123" s="67"/>
      <c r="CA123" s="67"/>
      <c r="CB123" s="67"/>
      <c r="CC123" s="67"/>
      <c r="CD123" s="67">
        <v>1</v>
      </c>
      <c r="CE123" s="67"/>
      <c r="CF123" s="67"/>
      <c r="CG123" s="67"/>
      <c r="CH123" s="645"/>
      <c r="CI123" s="645"/>
      <c r="CJ123" s="645"/>
      <c r="CK123" s="645"/>
      <c r="CL123" s="645"/>
      <c r="CM123" s="645"/>
      <c r="CO123" s="142"/>
      <c r="CP123" s="151"/>
      <c r="CQ123" s="33"/>
      <c r="DR123" s="33"/>
      <c r="DS123" s="146"/>
      <c r="DT123" s="146"/>
      <c r="DU123" s="146"/>
      <c r="DV123" s="146"/>
      <c r="DW123" s="146"/>
      <c r="DX123" s="146"/>
      <c r="DY123" s="146"/>
      <c r="DZ123" s="146"/>
      <c r="EC123" s="146"/>
    </row>
    <row r="124" spans="1:133" ht="14.25" hidden="1" customHeight="1" x14ac:dyDescent="0.2">
      <c r="BF124" s="604"/>
      <c r="CO124" s="129"/>
    </row>
    <row r="125" spans="1:133" s="46" customFormat="1" ht="14.25" hidden="1" customHeight="1" x14ac:dyDescent="0.2">
      <c r="A125" s="97" t="s">
        <v>13</v>
      </c>
      <c r="B125" s="97" t="s">
        <v>44</v>
      </c>
      <c r="C125" s="97" t="s">
        <v>28</v>
      </c>
      <c r="D125" s="97"/>
      <c r="E125" s="97"/>
      <c r="F125" s="529">
        <f t="shared" ref="F125:N125" si="99">F120</f>
        <v>28</v>
      </c>
      <c r="G125" s="529">
        <f t="shared" si="99"/>
        <v>28</v>
      </c>
      <c r="H125" s="529">
        <f t="shared" si="99"/>
        <v>28</v>
      </c>
      <c r="I125" s="529">
        <f t="shared" si="99"/>
        <v>28</v>
      </c>
      <c r="J125" s="529">
        <f t="shared" si="99"/>
        <v>28</v>
      </c>
      <c r="K125" s="529">
        <f t="shared" si="99"/>
        <v>28</v>
      </c>
      <c r="L125" s="529">
        <f t="shared" si="99"/>
        <v>28</v>
      </c>
      <c r="M125" s="529">
        <f t="shared" si="99"/>
        <v>28</v>
      </c>
      <c r="N125" s="529">
        <f t="shared" si="99"/>
        <v>28</v>
      </c>
      <c r="O125" s="529">
        <f t="shared" ref="O125:Q128" si="100">O120</f>
        <v>28</v>
      </c>
      <c r="P125" s="529">
        <f t="shared" si="100"/>
        <v>28</v>
      </c>
      <c r="Q125" s="529">
        <f t="shared" si="100"/>
        <v>28</v>
      </c>
      <c r="R125" s="529">
        <f t="shared" ref="R125:V125" si="101">R120</f>
        <v>28</v>
      </c>
      <c r="S125" s="529"/>
      <c r="T125" s="529">
        <f t="shared" si="101"/>
        <v>28</v>
      </c>
      <c r="U125" s="529"/>
      <c r="V125" s="529">
        <f t="shared" si="101"/>
        <v>28</v>
      </c>
      <c r="W125" s="529">
        <f t="shared" ref="W125:AF125" si="102">W120</f>
        <v>28</v>
      </c>
      <c r="X125" s="529">
        <f t="shared" si="102"/>
        <v>28</v>
      </c>
      <c r="Y125" s="529">
        <f t="shared" si="102"/>
        <v>28</v>
      </c>
      <c r="Z125" s="529">
        <f t="shared" si="102"/>
        <v>28</v>
      </c>
      <c r="AA125" s="529">
        <f t="shared" si="102"/>
        <v>28</v>
      </c>
      <c r="AB125" s="529">
        <f t="shared" si="102"/>
        <v>28</v>
      </c>
      <c r="AC125" s="529">
        <f t="shared" si="102"/>
        <v>28</v>
      </c>
      <c r="AD125" s="529">
        <f t="shared" si="102"/>
        <v>28</v>
      </c>
      <c r="AE125" s="529">
        <f t="shared" si="102"/>
        <v>28</v>
      </c>
      <c r="AF125" s="529">
        <f t="shared" si="102"/>
        <v>28</v>
      </c>
      <c r="AG125" s="529">
        <f t="shared" ref="AG125:AX125" si="103">AG120</f>
        <v>28</v>
      </c>
      <c r="AH125" s="529">
        <f t="shared" si="103"/>
        <v>28</v>
      </c>
      <c r="AI125" s="529">
        <f t="shared" si="103"/>
        <v>28</v>
      </c>
      <c r="AJ125" s="529">
        <f t="shared" si="103"/>
        <v>28</v>
      </c>
      <c r="AK125" s="529">
        <f t="shared" si="103"/>
        <v>28</v>
      </c>
      <c r="AL125" s="529">
        <f t="shared" si="103"/>
        <v>28</v>
      </c>
      <c r="AM125" s="529"/>
      <c r="AN125" s="529"/>
      <c r="AO125" s="529"/>
      <c r="AP125" s="529">
        <f t="shared" si="103"/>
        <v>28</v>
      </c>
      <c r="AQ125" s="529">
        <f t="shared" si="103"/>
        <v>28</v>
      </c>
      <c r="AR125" s="529">
        <f t="shared" si="103"/>
        <v>28</v>
      </c>
      <c r="AS125" s="97">
        <f t="shared" si="103"/>
        <v>20</v>
      </c>
      <c r="AT125" s="97">
        <f t="shared" si="103"/>
        <v>20</v>
      </c>
      <c r="AU125" s="97">
        <f t="shared" si="103"/>
        <v>20</v>
      </c>
      <c r="AV125" s="97">
        <f t="shared" si="103"/>
        <v>20</v>
      </c>
      <c r="AW125" s="97">
        <f t="shared" si="103"/>
        <v>20</v>
      </c>
      <c r="AX125" s="97">
        <f t="shared" si="103"/>
        <v>20</v>
      </c>
      <c r="AY125" s="97">
        <f t="shared" ref="AY125:BI125" si="104">AY120</f>
        <v>20</v>
      </c>
      <c r="AZ125" s="97">
        <f t="shared" si="104"/>
        <v>20</v>
      </c>
      <c r="BA125" s="97">
        <f t="shared" si="104"/>
        <v>20</v>
      </c>
      <c r="BB125" s="97">
        <f t="shared" si="104"/>
        <v>16</v>
      </c>
      <c r="BC125" s="97">
        <f t="shared" si="104"/>
        <v>16</v>
      </c>
      <c r="BD125" s="97">
        <f t="shared" si="104"/>
        <v>16</v>
      </c>
      <c r="BE125" s="97">
        <f t="shared" si="104"/>
        <v>16</v>
      </c>
      <c r="BF125" s="97">
        <f t="shared" si="104"/>
        <v>16</v>
      </c>
      <c r="BG125" s="97">
        <f t="shared" si="104"/>
        <v>16</v>
      </c>
      <c r="BH125" s="97">
        <f t="shared" si="104"/>
        <v>16</v>
      </c>
      <c r="BI125" s="97">
        <f t="shared" si="104"/>
        <v>16</v>
      </c>
      <c r="BJ125" s="97"/>
      <c r="BK125" s="97">
        <f t="shared" ref="BK125:BM128" si="105">BK120</f>
        <v>16</v>
      </c>
      <c r="BL125" s="97">
        <f t="shared" si="105"/>
        <v>16</v>
      </c>
      <c r="BM125" s="97">
        <f t="shared" si="105"/>
        <v>16</v>
      </c>
      <c r="BN125" s="97"/>
      <c r="BO125" s="97">
        <f t="shared" ref="BO125" si="106">BO120</f>
        <v>16</v>
      </c>
      <c r="BP125" s="97">
        <f t="shared" ref="BP125:BR128" si="107">BP120</f>
        <v>0</v>
      </c>
      <c r="BQ125" s="97">
        <f t="shared" si="107"/>
        <v>0</v>
      </c>
      <c r="BR125" s="97">
        <f t="shared" si="107"/>
        <v>0</v>
      </c>
      <c r="BS125" s="97"/>
      <c r="BT125" s="97"/>
      <c r="BU125" s="97"/>
      <c r="BV125" s="97"/>
      <c r="BW125" s="97"/>
      <c r="BX125" s="97"/>
      <c r="BY125" s="97"/>
      <c r="BZ125" s="97"/>
      <c r="CA125" s="97"/>
      <c r="CB125" s="97">
        <f t="shared" ref="CB125:CD128" si="108">CB120</f>
        <v>0</v>
      </c>
      <c r="CC125" s="97">
        <f t="shared" si="108"/>
        <v>0</v>
      </c>
      <c r="CD125" s="97">
        <f t="shared" si="108"/>
        <v>0</v>
      </c>
      <c r="CE125" s="97"/>
      <c r="CF125" s="97"/>
      <c r="CG125" s="97"/>
      <c r="CH125" s="492"/>
      <c r="CI125" s="492"/>
      <c r="CJ125" s="492"/>
      <c r="CK125" s="492"/>
      <c r="CL125" s="492"/>
      <c r="CM125" s="492"/>
      <c r="CO125" s="532"/>
      <c r="CP125" s="531"/>
      <c r="DS125" s="492"/>
      <c r="DT125" s="492"/>
      <c r="DU125" s="492"/>
      <c r="DV125" s="492"/>
      <c r="DW125" s="492"/>
      <c r="DX125" s="492"/>
      <c r="DY125" s="492"/>
      <c r="DZ125" s="492"/>
      <c r="EC125" s="492"/>
    </row>
    <row r="126" spans="1:133" s="46" customFormat="1" ht="14.25" hidden="1" customHeight="1" x14ac:dyDescent="0.2">
      <c r="A126" s="97" t="s">
        <v>14</v>
      </c>
      <c r="B126" s="97" t="s">
        <v>44</v>
      </c>
      <c r="C126" s="97" t="s">
        <v>28</v>
      </c>
      <c r="D126" s="97"/>
      <c r="E126" s="97"/>
      <c r="F126" s="132">
        <f t="shared" ref="F126:N126" si="109">F121</f>
        <v>0</v>
      </c>
      <c r="G126" s="132">
        <f t="shared" si="109"/>
        <v>0</v>
      </c>
      <c r="H126" s="132">
        <f t="shared" si="109"/>
        <v>0</v>
      </c>
      <c r="I126" s="132">
        <f t="shared" si="109"/>
        <v>0</v>
      </c>
      <c r="J126" s="132">
        <f t="shared" si="109"/>
        <v>0</v>
      </c>
      <c r="K126" s="132">
        <f t="shared" si="109"/>
        <v>0</v>
      </c>
      <c r="L126" s="132">
        <f t="shared" si="109"/>
        <v>0</v>
      </c>
      <c r="M126" s="132">
        <f t="shared" si="109"/>
        <v>0</v>
      </c>
      <c r="N126" s="132">
        <f t="shared" si="109"/>
        <v>0</v>
      </c>
      <c r="O126" s="132">
        <f t="shared" si="100"/>
        <v>0</v>
      </c>
      <c r="P126" s="132">
        <f t="shared" si="100"/>
        <v>0</v>
      </c>
      <c r="Q126" s="132">
        <f t="shared" si="100"/>
        <v>0</v>
      </c>
      <c r="R126" s="132">
        <f t="shared" ref="R126:V126" si="110">R121</f>
        <v>0</v>
      </c>
      <c r="S126" s="132"/>
      <c r="T126" s="132">
        <f t="shared" si="110"/>
        <v>0</v>
      </c>
      <c r="U126" s="132"/>
      <c r="V126" s="132">
        <f t="shared" si="110"/>
        <v>0</v>
      </c>
      <c r="W126" s="132">
        <f t="shared" ref="W126:AF126" si="111">W121</f>
        <v>0</v>
      </c>
      <c r="X126" s="132">
        <f t="shared" si="111"/>
        <v>0</v>
      </c>
      <c r="Y126" s="132">
        <f t="shared" si="111"/>
        <v>0</v>
      </c>
      <c r="Z126" s="132">
        <f t="shared" si="111"/>
        <v>0</v>
      </c>
      <c r="AA126" s="132">
        <f t="shared" si="111"/>
        <v>0</v>
      </c>
      <c r="AB126" s="132">
        <f t="shared" si="111"/>
        <v>0</v>
      </c>
      <c r="AC126" s="132">
        <f t="shared" si="111"/>
        <v>0</v>
      </c>
      <c r="AD126" s="132">
        <f t="shared" si="111"/>
        <v>0</v>
      </c>
      <c r="AE126" s="132">
        <f t="shared" si="111"/>
        <v>0</v>
      </c>
      <c r="AF126" s="132">
        <f t="shared" si="111"/>
        <v>0</v>
      </c>
      <c r="AG126" s="132">
        <f t="shared" ref="AG126:AX126" si="112">AG121</f>
        <v>0</v>
      </c>
      <c r="AH126" s="132">
        <f t="shared" si="112"/>
        <v>0</v>
      </c>
      <c r="AI126" s="132">
        <f t="shared" si="112"/>
        <v>0</v>
      </c>
      <c r="AJ126" s="132">
        <f t="shared" si="112"/>
        <v>0</v>
      </c>
      <c r="AK126" s="132">
        <f t="shared" si="112"/>
        <v>0</v>
      </c>
      <c r="AL126" s="132">
        <f t="shared" si="112"/>
        <v>0</v>
      </c>
      <c r="AM126" s="132"/>
      <c r="AN126" s="132"/>
      <c r="AO126" s="132"/>
      <c r="AP126" s="132">
        <f t="shared" si="112"/>
        <v>0</v>
      </c>
      <c r="AQ126" s="132">
        <f t="shared" si="112"/>
        <v>0</v>
      </c>
      <c r="AR126" s="132">
        <f t="shared" si="112"/>
        <v>0</v>
      </c>
      <c r="AS126" s="97">
        <f t="shared" si="112"/>
        <v>6</v>
      </c>
      <c r="AT126" s="97">
        <f t="shared" si="112"/>
        <v>6</v>
      </c>
      <c r="AU126" s="97">
        <f t="shared" si="112"/>
        <v>6</v>
      </c>
      <c r="AV126" s="97">
        <f t="shared" si="112"/>
        <v>6</v>
      </c>
      <c r="AW126" s="97">
        <f t="shared" si="112"/>
        <v>6</v>
      </c>
      <c r="AX126" s="97">
        <f t="shared" si="112"/>
        <v>6</v>
      </c>
      <c r="AY126" s="97">
        <f t="shared" ref="AY126:BI126" si="113">AY121</f>
        <v>6</v>
      </c>
      <c r="AZ126" s="97">
        <f t="shared" si="113"/>
        <v>6</v>
      </c>
      <c r="BA126" s="97">
        <f t="shared" si="113"/>
        <v>6</v>
      </c>
      <c r="BB126" s="97">
        <f t="shared" si="113"/>
        <v>4</v>
      </c>
      <c r="BC126" s="97">
        <f t="shared" si="113"/>
        <v>4</v>
      </c>
      <c r="BD126" s="97">
        <f t="shared" si="113"/>
        <v>4</v>
      </c>
      <c r="BE126" s="97">
        <f t="shared" si="113"/>
        <v>0</v>
      </c>
      <c r="BF126" s="97">
        <f t="shared" si="113"/>
        <v>0</v>
      </c>
      <c r="BG126" s="97">
        <f t="shared" si="113"/>
        <v>0</v>
      </c>
      <c r="BH126" s="97">
        <f t="shared" si="113"/>
        <v>0</v>
      </c>
      <c r="BI126" s="97">
        <f t="shared" si="113"/>
        <v>0</v>
      </c>
      <c r="BJ126" s="97"/>
      <c r="BK126" s="97">
        <f t="shared" si="105"/>
        <v>0</v>
      </c>
      <c r="BL126" s="97">
        <f t="shared" si="105"/>
        <v>0</v>
      </c>
      <c r="BM126" s="97">
        <f t="shared" si="105"/>
        <v>0</v>
      </c>
      <c r="BN126" s="97"/>
      <c r="BO126" s="97">
        <f t="shared" ref="BO126" si="114">BO121</f>
        <v>0</v>
      </c>
      <c r="BP126" s="97">
        <f t="shared" si="107"/>
        <v>0</v>
      </c>
      <c r="BQ126" s="97">
        <f t="shared" si="107"/>
        <v>0</v>
      </c>
      <c r="BR126" s="97">
        <f t="shared" si="107"/>
        <v>0</v>
      </c>
      <c r="BS126" s="97"/>
      <c r="BT126" s="97"/>
      <c r="BU126" s="97"/>
      <c r="BV126" s="97"/>
      <c r="BW126" s="97"/>
      <c r="BX126" s="97"/>
      <c r="BY126" s="97"/>
      <c r="BZ126" s="97"/>
      <c r="CA126" s="97"/>
      <c r="CB126" s="97">
        <f t="shared" si="108"/>
        <v>0</v>
      </c>
      <c r="CC126" s="97">
        <f t="shared" si="108"/>
        <v>0</v>
      </c>
      <c r="CD126" s="97">
        <f t="shared" si="108"/>
        <v>0</v>
      </c>
      <c r="CE126" s="97"/>
      <c r="CF126" s="97"/>
      <c r="CG126" s="97"/>
      <c r="CH126" s="492"/>
      <c r="CI126" s="492"/>
      <c r="CJ126" s="492"/>
      <c r="CK126" s="492"/>
      <c r="CL126" s="492"/>
      <c r="CM126" s="492"/>
      <c r="CO126" s="532">
        <f t="array" ref="CO126">SUM($F126:$CG126*$F$11:$CG$11)</f>
        <v>0</v>
      </c>
      <c r="CP126" s="531"/>
      <c r="DS126" s="492"/>
      <c r="DT126" s="492"/>
      <c r="DU126" s="492"/>
      <c r="DV126" s="492"/>
      <c r="DW126" s="492"/>
      <c r="DX126" s="492"/>
      <c r="DY126" s="492"/>
      <c r="DZ126" s="492"/>
      <c r="EC126" s="492"/>
    </row>
    <row r="127" spans="1:133" s="64" customFormat="1" ht="14.25" hidden="1" customHeight="1" x14ac:dyDescent="0.2">
      <c r="A127" s="58" t="s">
        <v>39</v>
      </c>
      <c r="B127" s="58" t="s">
        <v>44</v>
      </c>
      <c r="C127" s="58"/>
      <c r="D127" s="58"/>
      <c r="E127" s="58"/>
      <c r="F127" s="62">
        <f t="shared" ref="F127:N127" si="115">F122</f>
        <v>0</v>
      </c>
      <c r="G127" s="62">
        <f t="shared" si="115"/>
        <v>0</v>
      </c>
      <c r="H127" s="62">
        <f t="shared" si="115"/>
        <v>0</v>
      </c>
      <c r="I127" s="62">
        <f t="shared" si="115"/>
        <v>0</v>
      </c>
      <c r="J127" s="62">
        <f t="shared" si="115"/>
        <v>0</v>
      </c>
      <c r="K127" s="62">
        <f t="shared" si="115"/>
        <v>0</v>
      </c>
      <c r="L127" s="62">
        <f t="shared" si="115"/>
        <v>0</v>
      </c>
      <c r="M127" s="62">
        <f t="shared" si="115"/>
        <v>0</v>
      </c>
      <c r="N127" s="62">
        <f t="shared" si="115"/>
        <v>0</v>
      </c>
      <c r="O127" s="62">
        <f t="shared" si="100"/>
        <v>0</v>
      </c>
      <c r="P127" s="62">
        <f t="shared" si="100"/>
        <v>0</v>
      </c>
      <c r="Q127" s="62">
        <f t="shared" si="100"/>
        <v>0</v>
      </c>
      <c r="R127" s="62">
        <f t="shared" ref="R127:V127" si="116">R122</f>
        <v>0</v>
      </c>
      <c r="S127" s="62"/>
      <c r="T127" s="62">
        <f t="shared" si="116"/>
        <v>0</v>
      </c>
      <c r="U127" s="62"/>
      <c r="V127" s="62">
        <f t="shared" si="116"/>
        <v>0</v>
      </c>
      <c r="W127" s="62">
        <f t="shared" ref="W127:AF127" si="117">W122</f>
        <v>0</v>
      </c>
      <c r="X127" s="62">
        <f t="shared" si="117"/>
        <v>0</v>
      </c>
      <c r="Y127" s="62">
        <f t="shared" si="117"/>
        <v>0</v>
      </c>
      <c r="Z127" s="62">
        <f t="shared" si="117"/>
        <v>0</v>
      </c>
      <c r="AA127" s="62">
        <f t="shared" si="117"/>
        <v>0</v>
      </c>
      <c r="AB127" s="62">
        <f t="shared" si="117"/>
        <v>0</v>
      </c>
      <c r="AC127" s="62">
        <f t="shared" si="117"/>
        <v>0</v>
      </c>
      <c r="AD127" s="62">
        <f t="shared" si="117"/>
        <v>0</v>
      </c>
      <c r="AE127" s="62">
        <f t="shared" si="117"/>
        <v>0</v>
      </c>
      <c r="AF127" s="62">
        <f t="shared" si="117"/>
        <v>0</v>
      </c>
      <c r="AG127" s="62">
        <f t="shared" ref="AG127:AX127" si="118">AG122</f>
        <v>0</v>
      </c>
      <c r="AH127" s="62">
        <f t="shared" si="118"/>
        <v>0</v>
      </c>
      <c r="AI127" s="62">
        <f t="shared" si="118"/>
        <v>0</v>
      </c>
      <c r="AJ127" s="62">
        <f t="shared" si="118"/>
        <v>0</v>
      </c>
      <c r="AK127" s="62">
        <f t="shared" si="118"/>
        <v>0</v>
      </c>
      <c r="AL127" s="62">
        <f t="shared" si="118"/>
        <v>0</v>
      </c>
      <c r="AM127" s="62"/>
      <c r="AN127" s="62"/>
      <c r="AO127" s="62"/>
      <c r="AP127" s="62">
        <f t="shared" si="118"/>
        <v>0</v>
      </c>
      <c r="AQ127" s="62">
        <f t="shared" si="118"/>
        <v>0</v>
      </c>
      <c r="AR127" s="62">
        <f t="shared" si="118"/>
        <v>0</v>
      </c>
      <c r="AS127" s="62">
        <f t="shared" si="118"/>
        <v>0</v>
      </c>
      <c r="AT127" s="62">
        <f t="shared" si="118"/>
        <v>0</v>
      </c>
      <c r="AU127" s="62">
        <f t="shared" si="118"/>
        <v>0</v>
      </c>
      <c r="AV127" s="62">
        <f t="shared" si="118"/>
        <v>0</v>
      </c>
      <c r="AW127" s="62">
        <f t="shared" si="118"/>
        <v>0</v>
      </c>
      <c r="AX127" s="62">
        <f t="shared" si="118"/>
        <v>0</v>
      </c>
      <c r="AY127" s="62">
        <f t="shared" ref="AY127:BI127" si="119">AY122</f>
        <v>0</v>
      </c>
      <c r="AZ127" s="62">
        <f t="shared" si="119"/>
        <v>0</v>
      </c>
      <c r="BA127" s="62">
        <f t="shared" si="119"/>
        <v>0</v>
      </c>
      <c r="BB127" s="62">
        <f t="shared" si="119"/>
        <v>0</v>
      </c>
      <c r="BC127" s="62">
        <f t="shared" si="119"/>
        <v>0</v>
      </c>
      <c r="BD127" s="62">
        <f t="shared" si="119"/>
        <v>0</v>
      </c>
      <c r="BE127" s="62">
        <f t="shared" si="119"/>
        <v>0</v>
      </c>
      <c r="BF127" s="62">
        <f t="shared" si="119"/>
        <v>0</v>
      </c>
      <c r="BG127" s="62">
        <f t="shared" si="119"/>
        <v>0</v>
      </c>
      <c r="BH127" s="62">
        <f t="shared" si="119"/>
        <v>0</v>
      </c>
      <c r="BI127" s="62">
        <f t="shared" si="119"/>
        <v>0</v>
      </c>
      <c r="BJ127" s="62"/>
      <c r="BK127" s="62">
        <f t="shared" si="105"/>
        <v>0</v>
      </c>
      <c r="BL127" s="62">
        <f t="shared" si="105"/>
        <v>0</v>
      </c>
      <c r="BM127" s="62">
        <f t="shared" si="105"/>
        <v>0</v>
      </c>
      <c r="BN127" s="62"/>
      <c r="BO127" s="62">
        <f t="shared" ref="BO127" si="120">BO122</f>
        <v>0</v>
      </c>
      <c r="BP127" s="673">
        <f t="shared" si="107"/>
        <v>0</v>
      </c>
      <c r="BQ127" s="673">
        <f t="shared" si="107"/>
        <v>0</v>
      </c>
      <c r="BR127" s="673">
        <f t="shared" si="107"/>
        <v>0</v>
      </c>
      <c r="BS127" s="62"/>
      <c r="BT127" s="62"/>
      <c r="BU127" s="62"/>
      <c r="BV127" s="62"/>
      <c r="BW127" s="62"/>
      <c r="BX127" s="62"/>
      <c r="BY127" s="62"/>
      <c r="BZ127" s="62"/>
      <c r="CA127" s="62"/>
      <c r="CB127" s="62">
        <f t="shared" si="108"/>
        <v>0</v>
      </c>
      <c r="CC127" s="62">
        <f t="shared" si="108"/>
        <v>0</v>
      </c>
      <c r="CD127" s="62">
        <f t="shared" si="108"/>
        <v>0</v>
      </c>
      <c r="CE127" s="62"/>
      <c r="CF127" s="62"/>
      <c r="CG127" s="62"/>
      <c r="CH127" s="696"/>
      <c r="CI127" s="696"/>
      <c r="CJ127" s="696"/>
      <c r="CK127" s="696"/>
      <c r="CL127" s="696"/>
      <c r="CM127" s="696"/>
      <c r="CO127" s="648">
        <f t="array" ref="CO127">SUM($F127:$CG127*$F$11:$CG$11)</f>
        <v>0</v>
      </c>
      <c r="CP127" s="649"/>
      <c r="DS127" s="644"/>
      <c r="DT127" s="644"/>
      <c r="DU127" s="644"/>
      <c r="DV127" s="644"/>
      <c r="DW127" s="644"/>
      <c r="DX127" s="644"/>
      <c r="DY127" s="644"/>
      <c r="DZ127" s="644"/>
      <c r="EC127" s="644"/>
    </row>
    <row r="128" spans="1:133" s="70" customFormat="1" ht="14.25" hidden="1" customHeight="1" x14ac:dyDescent="0.2">
      <c r="A128" s="67" t="s">
        <v>8</v>
      </c>
      <c r="B128" s="67" t="s">
        <v>44</v>
      </c>
      <c r="C128" s="67" t="s">
        <v>41</v>
      </c>
      <c r="D128" s="67"/>
      <c r="E128" s="67"/>
      <c r="F128" s="69">
        <f t="shared" ref="F128:N128" si="121">F123</f>
        <v>0</v>
      </c>
      <c r="G128" s="69">
        <f t="shared" si="121"/>
        <v>0</v>
      </c>
      <c r="H128" s="69">
        <f t="shared" si="121"/>
        <v>1</v>
      </c>
      <c r="I128" s="69">
        <f t="shared" si="121"/>
        <v>0</v>
      </c>
      <c r="J128" s="69">
        <f t="shared" si="121"/>
        <v>0</v>
      </c>
      <c r="K128" s="69">
        <f t="shared" si="121"/>
        <v>1</v>
      </c>
      <c r="L128" s="69">
        <f t="shared" si="121"/>
        <v>0</v>
      </c>
      <c r="M128" s="69">
        <f t="shared" si="121"/>
        <v>0</v>
      </c>
      <c r="N128" s="69">
        <f t="shared" si="121"/>
        <v>1</v>
      </c>
      <c r="O128" s="69">
        <f t="shared" si="100"/>
        <v>0</v>
      </c>
      <c r="P128" s="69">
        <f t="shared" si="100"/>
        <v>0</v>
      </c>
      <c r="Q128" s="69">
        <f t="shared" si="100"/>
        <v>1</v>
      </c>
      <c r="R128" s="69">
        <f t="shared" ref="R128:V128" si="122">R123</f>
        <v>0</v>
      </c>
      <c r="S128" s="69"/>
      <c r="T128" s="69">
        <f t="shared" si="122"/>
        <v>0</v>
      </c>
      <c r="U128" s="69"/>
      <c r="V128" s="69">
        <f t="shared" si="122"/>
        <v>1</v>
      </c>
      <c r="W128" s="69">
        <f t="shared" ref="W128:AF128" si="123">W123</f>
        <v>0</v>
      </c>
      <c r="X128" s="69">
        <f t="shared" si="123"/>
        <v>0</v>
      </c>
      <c r="Y128" s="69">
        <f t="shared" si="123"/>
        <v>0</v>
      </c>
      <c r="Z128" s="69">
        <f t="shared" si="123"/>
        <v>0</v>
      </c>
      <c r="AA128" s="69">
        <f t="shared" si="123"/>
        <v>1</v>
      </c>
      <c r="AB128" s="69">
        <f t="shared" si="123"/>
        <v>0</v>
      </c>
      <c r="AC128" s="69">
        <f t="shared" si="123"/>
        <v>0</v>
      </c>
      <c r="AD128" s="69">
        <f t="shared" si="123"/>
        <v>0</v>
      </c>
      <c r="AE128" s="69">
        <f t="shared" si="123"/>
        <v>0</v>
      </c>
      <c r="AF128" s="69">
        <f t="shared" si="123"/>
        <v>1</v>
      </c>
      <c r="AG128" s="69">
        <f t="shared" ref="AG128:AU128" si="124">AG123</f>
        <v>0</v>
      </c>
      <c r="AH128" s="69">
        <f t="shared" si="124"/>
        <v>0</v>
      </c>
      <c r="AI128" s="69">
        <f t="shared" si="124"/>
        <v>1</v>
      </c>
      <c r="AJ128" s="69">
        <f t="shared" si="124"/>
        <v>0</v>
      </c>
      <c r="AK128" s="69">
        <f t="shared" si="124"/>
        <v>0</v>
      </c>
      <c r="AL128" s="69">
        <f t="shared" si="124"/>
        <v>1</v>
      </c>
      <c r="AM128" s="69"/>
      <c r="AN128" s="69"/>
      <c r="AO128" s="69"/>
      <c r="AP128" s="69">
        <f t="shared" si="124"/>
        <v>0</v>
      </c>
      <c r="AQ128" s="69">
        <f t="shared" si="124"/>
        <v>0</v>
      </c>
      <c r="AR128" s="69">
        <f t="shared" si="124"/>
        <v>1</v>
      </c>
      <c r="AS128" s="67">
        <f t="shared" si="124"/>
        <v>0</v>
      </c>
      <c r="AT128" s="67">
        <f t="shared" si="124"/>
        <v>0</v>
      </c>
      <c r="AU128" s="67">
        <f t="shared" si="124"/>
        <v>1</v>
      </c>
      <c r="AV128" s="67"/>
      <c r="AW128" s="67"/>
      <c r="AX128" s="67">
        <v>1</v>
      </c>
      <c r="AY128" s="67">
        <f>AY123</f>
        <v>0</v>
      </c>
      <c r="AZ128" s="67">
        <f>AZ123</f>
        <v>0</v>
      </c>
      <c r="BA128" s="67">
        <f>BA123</f>
        <v>1</v>
      </c>
      <c r="BB128" s="67">
        <f t="shared" ref="BB128:BG128" si="125">BB123</f>
        <v>0</v>
      </c>
      <c r="BC128" s="67">
        <f t="shared" si="125"/>
        <v>0</v>
      </c>
      <c r="BD128" s="67">
        <f t="shared" si="125"/>
        <v>1</v>
      </c>
      <c r="BE128" s="67">
        <f t="shared" si="125"/>
        <v>0</v>
      </c>
      <c r="BF128" s="67">
        <f t="shared" si="125"/>
        <v>0</v>
      </c>
      <c r="BG128" s="67">
        <f t="shared" si="125"/>
        <v>1</v>
      </c>
      <c r="BH128" s="67">
        <f>BH123</f>
        <v>0</v>
      </c>
      <c r="BI128" s="67">
        <f>BI123</f>
        <v>0</v>
      </c>
      <c r="BJ128" s="67"/>
      <c r="BK128" s="67">
        <f t="shared" si="105"/>
        <v>1</v>
      </c>
      <c r="BL128" s="67">
        <f t="shared" si="105"/>
        <v>0</v>
      </c>
      <c r="BM128" s="67">
        <f t="shared" si="105"/>
        <v>0</v>
      </c>
      <c r="BN128" s="67"/>
      <c r="BO128" s="67">
        <f t="shared" ref="BO128" si="126">BO123</f>
        <v>1</v>
      </c>
      <c r="BP128" s="57">
        <f t="shared" si="107"/>
        <v>0</v>
      </c>
      <c r="BQ128" s="57">
        <f t="shared" si="107"/>
        <v>0</v>
      </c>
      <c r="BR128" s="57">
        <f t="shared" si="107"/>
        <v>1</v>
      </c>
      <c r="BS128" s="67"/>
      <c r="BT128" s="67"/>
      <c r="BU128" s="67"/>
      <c r="BV128" s="67"/>
      <c r="BW128" s="67"/>
      <c r="BX128" s="67"/>
      <c r="BY128" s="67"/>
      <c r="BZ128" s="67"/>
      <c r="CA128" s="67"/>
      <c r="CB128" s="67">
        <f t="shared" si="108"/>
        <v>0</v>
      </c>
      <c r="CC128" s="67">
        <f t="shared" si="108"/>
        <v>0</v>
      </c>
      <c r="CD128" s="67">
        <f t="shared" si="108"/>
        <v>1</v>
      </c>
      <c r="CE128" s="67"/>
      <c r="CF128" s="67"/>
      <c r="CG128" s="67"/>
      <c r="CH128" s="645"/>
      <c r="CI128" s="645"/>
      <c r="CJ128" s="645"/>
      <c r="CK128" s="645"/>
      <c r="CL128" s="645"/>
      <c r="CM128" s="645"/>
      <c r="CO128" s="652"/>
      <c r="CP128" s="653"/>
      <c r="DS128" s="645"/>
      <c r="DT128" s="645"/>
      <c r="DU128" s="645"/>
      <c r="DV128" s="645"/>
      <c r="DW128" s="645"/>
      <c r="DX128" s="645"/>
      <c r="DY128" s="645"/>
      <c r="DZ128" s="645"/>
      <c r="EC128" s="645"/>
    </row>
    <row r="129" spans="1:133" ht="14.25" hidden="1" customHeight="1" x14ac:dyDescent="0.2">
      <c r="BF129" s="604"/>
      <c r="CO129" s="129"/>
    </row>
    <row r="130" spans="1:133" s="46" customFormat="1" ht="14.25" hidden="1" customHeight="1" x14ac:dyDescent="0.2">
      <c r="A130" s="97" t="s">
        <v>13</v>
      </c>
      <c r="B130" s="97" t="s">
        <v>2</v>
      </c>
      <c r="C130" s="97" t="s">
        <v>28</v>
      </c>
      <c r="D130" s="97"/>
      <c r="E130" s="97"/>
      <c r="F130" s="529">
        <v>28.749999999999996</v>
      </c>
      <c r="G130" s="529">
        <v>28.749999999999996</v>
      </c>
      <c r="H130" s="529">
        <v>28.749999999999996</v>
      </c>
      <c r="I130" s="529">
        <v>28.749999999999996</v>
      </c>
      <c r="J130" s="529">
        <v>28.749999999999996</v>
      </c>
      <c r="K130" s="529">
        <v>28.749999999999996</v>
      </c>
      <c r="L130" s="529">
        <v>28.749999999999996</v>
      </c>
      <c r="M130" s="529">
        <v>28.749999999999996</v>
      </c>
      <c r="N130" s="529">
        <v>28.749999999999996</v>
      </c>
      <c r="O130" s="529">
        <v>28.749999999999996</v>
      </c>
      <c r="P130" s="529">
        <v>28.749999999999996</v>
      </c>
      <c r="Q130" s="529">
        <v>28.749999999999996</v>
      </c>
      <c r="R130" s="529">
        <v>28.749999999999996</v>
      </c>
      <c r="S130" s="529"/>
      <c r="T130" s="529">
        <v>28.749999999999996</v>
      </c>
      <c r="U130" s="529"/>
      <c r="V130" s="529">
        <v>28.749999999999996</v>
      </c>
      <c r="W130" s="529">
        <v>28.749999999999996</v>
      </c>
      <c r="X130" s="529">
        <v>28.749999999999996</v>
      </c>
      <c r="Y130" s="529">
        <v>28.749999999999996</v>
      </c>
      <c r="Z130" s="529">
        <v>28.749999999999996</v>
      </c>
      <c r="AA130" s="529">
        <v>28.749999999999996</v>
      </c>
      <c r="AB130" s="529">
        <v>28.749999999999996</v>
      </c>
      <c r="AC130" s="529">
        <v>28.749999999999996</v>
      </c>
      <c r="AD130" s="529">
        <v>28.749999999999996</v>
      </c>
      <c r="AE130" s="529">
        <v>28.749999999999996</v>
      </c>
      <c r="AF130" s="529">
        <v>28.749999999999996</v>
      </c>
      <c r="AG130" s="529">
        <v>28.749999999999996</v>
      </c>
      <c r="AH130" s="529">
        <v>28.749999999999996</v>
      </c>
      <c r="AI130" s="529">
        <v>28.749999999999996</v>
      </c>
      <c r="AJ130" s="529">
        <v>28.749999999999996</v>
      </c>
      <c r="AK130" s="529">
        <v>28.749999999999996</v>
      </c>
      <c r="AL130" s="529">
        <v>28.749999999999996</v>
      </c>
      <c r="AM130" s="529"/>
      <c r="AN130" s="529"/>
      <c r="AO130" s="529"/>
      <c r="AP130" s="529">
        <v>28.749999999999996</v>
      </c>
      <c r="AQ130" s="529">
        <v>28.749999999999996</v>
      </c>
      <c r="AR130" s="529">
        <v>28.749999999999996</v>
      </c>
      <c r="AS130" s="97">
        <f>10/80*100</f>
        <v>12.5</v>
      </c>
      <c r="AT130" s="97">
        <f>10/80*100</f>
        <v>12.5</v>
      </c>
      <c r="AU130" s="97">
        <f>10/80*100</f>
        <v>12.5</v>
      </c>
      <c r="AV130" s="97">
        <f t="shared" ref="AV130:AX130" si="127">10/80*100</f>
        <v>12.5</v>
      </c>
      <c r="AW130" s="97">
        <f t="shared" si="127"/>
        <v>12.5</v>
      </c>
      <c r="AX130" s="97">
        <f t="shared" si="127"/>
        <v>12.5</v>
      </c>
      <c r="AY130" s="97">
        <f>10/80*100</f>
        <v>12.5</v>
      </c>
      <c r="AZ130" s="97">
        <f>10/80*100</f>
        <v>12.5</v>
      </c>
      <c r="BA130" s="97">
        <f>10/80*100</f>
        <v>12.5</v>
      </c>
      <c r="BB130" s="97">
        <f>8/80*100</f>
        <v>10</v>
      </c>
      <c r="BC130" s="97">
        <f t="shared" ref="BC130:BO130" si="128">8/80*100</f>
        <v>10</v>
      </c>
      <c r="BD130" s="97">
        <f t="shared" si="128"/>
        <v>10</v>
      </c>
      <c r="BE130" s="97">
        <f t="shared" si="128"/>
        <v>10</v>
      </c>
      <c r="BF130" s="97">
        <f t="shared" si="128"/>
        <v>10</v>
      </c>
      <c r="BG130" s="97">
        <f t="shared" si="128"/>
        <v>10</v>
      </c>
      <c r="BH130" s="97">
        <f t="shared" si="128"/>
        <v>10</v>
      </c>
      <c r="BI130" s="97">
        <f t="shared" si="128"/>
        <v>10</v>
      </c>
      <c r="BJ130" s="97">
        <f t="shared" si="128"/>
        <v>10</v>
      </c>
      <c r="BK130" s="97">
        <f t="shared" si="128"/>
        <v>10</v>
      </c>
      <c r="BL130" s="97">
        <f t="shared" si="128"/>
        <v>10</v>
      </c>
      <c r="BM130" s="97">
        <f t="shared" si="128"/>
        <v>10</v>
      </c>
      <c r="BN130" s="97">
        <f t="shared" si="128"/>
        <v>10</v>
      </c>
      <c r="BO130" s="97">
        <f t="shared" si="128"/>
        <v>10</v>
      </c>
      <c r="BP130" s="97">
        <v>0</v>
      </c>
      <c r="BQ130" s="97">
        <v>0</v>
      </c>
      <c r="BR130" s="97">
        <v>0</v>
      </c>
      <c r="BS130" s="97"/>
      <c r="BT130" s="97"/>
      <c r="BU130" s="97"/>
      <c r="BV130" s="97"/>
      <c r="BW130" s="97"/>
      <c r="BX130" s="97"/>
      <c r="BY130" s="97"/>
      <c r="BZ130" s="97"/>
      <c r="CA130" s="97"/>
      <c r="CB130" s="97">
        <v>0</v>
      </c>
      <c r="CC130" s="97">
        <v>0</v>
      </c>
      <c r="CD130" s="97">
        <v>0</v>
      </c>
      <c r="CE130" s="97"/>
      <c r="CF130" s="97"/>
      <c r="CG130" s="97"/>
      <c r="CH130" s="492"/>
      <c r="CI130" s="492"/>
      <c r="CJ130" s="492"/>
      <c r="CK130" s="492"/>
      <c r="CL130" s="492"/>
      <c r="CM130" s="492"/>
      <c r="CO130" s="533"/>
      <c r="CP130" s="531"/>
      <c r="DS130" s="492"/>
      <c r="DT130" s="492"/>
      <c r="DU130" s="492"/>
      <c r="DV130" s="492"/>
      <c r="DW130" s="492"/>
      <c r="DX130" s="492"/>
      <c r="DY130" s="492"/>
      <c r="DZ130" s="492"/>
      <c r="EC130" s="492"/>
    </row>
    <row r="131" spans="1:133" s="46" customFormat="1" ht="14.25" hidden="1" customHeight="1" x14ac:dyDescent="0.2">
      <c r="A131" s="97" t="s">
        <v>14</v>
      </c>
      <c r="B131" s="97" t="s">
        <v>2</v>
      </c>
      <c r="C131" s="97" t="s">
        <v>28</v>
      </c>
      <c r="D131" s="97"/>
      <c r="E131" s="97"/>
      <c r="F131" s="132">
        <f>7/80*100</f>
        <v>8.75</v>
      </c>
      <c r="G131" s="132">
        <v>8.75</v>
      </c>
      <c r="H131" s="132">
        <v>8.75</v>
      </c>
      <c r="I131" s="132">
        <f>7/80*100</f>
        <v>8.75</v>
      </c>
      <c r="J131" s="132">
        <v>8.75</v>
      </c>
      <c r="K131" s="132">
        <v>8.75</v>
      </c>
      <c r="L131" s="132">
        <f>7/80*100</f>
        <v>8.75</v>
      </c>
      <c r="M131" s="132">
        <v>8.75</v>
      </c>
      <c r="N131" s="132">
        <v>8.75</v>
      </c>
      <c r="O131" s="132">
        <f>7/80*100</f>
        <v>8.75</v>
      </c>
      <c r="P131" s="132">
        <v>8.75</v>
      </c>
      <c r="Q131" s="132">
        <v>8.75</v>
      </c>
      <c r="R131" s="132">
        <f>7/80*100</f>
        <v>8.75</v>
      </c>
      <c r="S131" s="132"/>
      <c r="T131" s="132">
        <v>8.75</v>
      </c>
      <c r="U131" s="132"/>
      <c r="V131" s="132">
        <v>8.75</v>
      </c>
      <c r="W131" s="132">
        <f>7/80*100</f>
        <v>8.75</v>
      </c>
      <c r="X131" s="132">
        <f t="shared" ref="X131:Y131" si="129">7/80*100</f>
        <v>8.75</v>
      </c>
      <c r="Y131" s="132">
        <f t="shared" si="129"/>
        <v>8.75</v>
      </c>
      <c r="Z131" s="132">
        <v>8.75</v>
      </c>
      <c r="AA131" s="132">
        <v>8.75</v>
      </c>
      <c r="AB131" s="132">
        <f>7/80*100</f>
        <v>8.75</v>
      </c>
      <c r="AC131" s="132">
        <f t="shared" ref="AC131:AD131" si="130">7/80*100</f>
        <v>8.75</v>
      </c>
      <c r="AD131" s="132">
        <f t="shared" si="130"/>
        <v>8.75</v>
      </c>
      <c r="AE131" s="132">
        <v>8.75</v>
      </c>
      <c r="AF131" s="132">
        <v>8.75</v>
      </c>
      <c r="AG131" s="132">
        <f>7/80*100</f>
        <v>8.75</v>
      </c>
      <c r="AH131" s="132">
        <v>8.75</v>
      </c>
      <c r="AI131" s="132">
        <v>8.75</v>
      </c>
      <c r="AJ131" s="132">
        <f>7/80*100</f>
        <v>8.75</v>
      </c>
      <c r="AK131" s="132">
        <v>8.75</v>
      </c>
      <c r="AL131" s="132">
        <v>8.75</v>
      </c>
      <c r="AM131" s="132"/>
      <c r="AN131" s="132"/>
      <c r="AO131" s="132"/>
      <c r="AP131" s="132">
        <v>0</v>
      </c>
      <c r="AQ131" s="132">
        <v>0</v>
      </c>
      <c r="AR131" s="132">
        <v>0</v>
      </c>
      <c r="AS131" s="97">
        <f>3/80*100</f>
        <v>3.75</v>
      </c>
      <c r="AT131" s="97">
        <v>3.75</v>
      </c>
      <c r="AU131" s="97">
        <v>3.75</v>
      </c>
      <c r="AV131" s="97">
        <v>3.75</v>
      </c>
      <c r="AW131" s="97">
        <v>3.75</v>
      </c>
      <c r="AX131" s="97">
        <v>3.75</v>
      </c>
      <c r="AY131" s="97">
        <f>3/80*100</f>
        <v>3.75</v>
      </c>
      <c r="AZ131" s="97">
        <v>3.75</v>
      </c>
      <c r="BA131" s="97">
        <v>3.75</v>
      </c>
      <c r="BB131" s="97">
        <f>2/80*100</f>
        <v>2.5</v>
      </c>
      <c r="BC131" s="97">
        <v>2.5</v>
      </c>
      <c r="BD131" s="97">
        <v>2.5</v>
      </c>
      <c r="BE131" s="97">
        <v>0</v>
      </c>
      <c r="BF131" s="97">
        <v>0</v>
      </c>
      <c r="BG131" s="97">
        <v>0</v>
      </c>
      <c r="BH131" s="97">
        <v>0</v>
      </c>
      <c r="BI131" s="97">
        <v>0</v>
      </c>
      <c r="BJ131" s="97"/>
      <c r="BK131" s="97">
        <v>0</v>
      </c>
      <c r="BL131" s="97">
        <v>0</v>
      </c>
      <c r="BM131" s="97">
        <v>0</v>
      </c>
      <c r="BN131" s="97"/>
      <c r="BO131" s="97">
        <v>0</v>
      </c>
      <c r="BP131" s="97">
        <v>0</v>
      </c>
      <c r="BQ131" s="97">
        <v>0</v>
      </c>
      <c r="BR131" s="97">
        <v>0</v>
      </c>
      <c r="BS131" s="97"/>
      <c r="BT131" s="97"/>
      <c r="BU131" s="97"/>
      <c r="BV131" s="97"/>
      <c r="BW131" s="97"/>
      <c r="BX131" s="97"/>
      <c r="BY131" s="97"/>
      <c r="BZ131" s="97"/>
      <c r="CA131" s="97"/>
      <c r="CB131" s="97">
        <v>0</v>
      </c>
      <c r="CC131" s="97">
        <v>0</v>
      </c>
      <c r="CD131" s="97">
        <v>0</v>
      </c>
      <c r="CE131" s="97"/>
      <c r="CF131" s="97"/>
      <c r="CG131" s="97"/>
      <c r="CH131" s="492"/>
      <c r="CI131" s="492"/>
      <c r="CJ131" s="492"/>
      <c r="CK131" s="492"/>
      <c r="CL131" s="492"/>
      <c r="CM131" s="492"/>
      <c r="CO131" s="532">
        <f t="array" ref="CO131">SUM($F131:$CG131*$F$11:$CG$11)</f>
        <v>8.75</v>
      </c>
      <c r="CP131" s="531"/>
      <c r="DS131" s="492"/>
      <c r="DT131" s="492"/>
      <c r="DU131" s="492"/>
      <c r="DV131" s="492"/>
      <c r="DW131" s="492"/>
      <c r="DX131" s="492"/>
      <c r="DY131" s="492"/>
      <c r="DZ131" s="492"/>
      <c r="EC131" s="492"/>
    </row>
    <row r="132" spans="1:133" s="64" customFormat="1" ht="14.25" hidden="1" customHeight="1" x14ac:dyDescent="0.2">
      <c r="A132" s="58" t="s">
        <v>39</v>
      </c>
      <c r="B132" s="58" t="s">
        <v>2</v>
      </c>
      <c r="C132" s="58"/>
      <c r="D132" s="58"/>
      <c r="E132" s="58"/>
      <c r="F132" s="62">
        <f t="shared" ref="F132:Q132" si="131">F130*F131/100*F$11</f>
        <v>0</v>
      </c>
      <c r="G132" s="62">
        <f t="shared" si="131"/>
        <v>0</v>
      </c>
      <c r="H132" s="62">
        <f t="shared" si="131"/>
        <v>0</v>
      </c>
      <c r="I132" s="62">
        <f t="shared" si="131"/>
        <v>0</v>
      </c>
      <c r="J132" s="62">
        <f t="shared" si="131"/>
        <v>0</v>
      </c>
      <c r="K132" s="62">
        <f t="shared" si="131"/>
        <v>0</v>
      </c>
      <c r="L132" s="62">
        <f t="shared" si="131"/>
        <v>0</v>
      </c>
      <c r="M132" s="62">
        <f t="shared" si="131"/>
        <v>0</v>
      </c>
      <c r="N132" s="62">
        <f t="shared" si="131"/>
        <v>0</v>
      </c>
      <c r="O132" s="62">
        <f t="shared" si="131"/>
        <v>0</v>
      </c>
      <c r="P132" s="62">
        <f t="shared" si="131"/>
        <v>0</v>
      </c>
      <c r="Q132" s="62">
        <f t="shared" si="131"/>
        <v>0</v>
      </c>
      <c r="R132" s="62">
        <f t="shared" ref="R132:V132" si="132">R130*R131/100*R$11</f>
        <v>0</v>
      </c>
      <c r="S132" s="62"/>
      <c r="T132" s="62">
        <f t="shared" si="132"/>
        <v>0</v>
      </c>
      <c r="U132" s="62"/>
      <c r="V132" s="62">
        <f t="shared" si="132"/>
        <v>0</v>
      </c>
      <c r="W132" s="62">
        <f t="shared" ref="W132:AF132" si="133">W130*W131/100*W$11</f>
        <v>0</v>
      </c>
      <c r="X132" s="62">
        <f t="shared" si="133"/>
        <v>0</v>
      </c>
      <c r="Y132" s="62">
        <f t="shared" si="133"/>
        <v>0</v>
      </c>
      <c r="Z132" s="62">
        <f t="shared" si="133"/>
        <v>0</v>
      </c>
      <c r="AA132" s="62">
        <f t="shared" si="133"/>
        <v>0</v>
      </c>
      <c r="AB132" s="62">
        <f t="shared" si="133"/>
        <v>0</v>
      </c>
      <c r="AC132" s="62">
        <f t="shared" si="133"/>
        <v>0</v>
      </c>
      <c r="AD132" s="62">
        <f t="shared" si="133"/>
        <v>0</v>
      </c>
      <c r="AE132" s="62">
        <f t="shared" si="133"/>
        <v>0</v>
      </c>
      <c r="AF132" s="62">
        <f t="shared" si="133"/>
        <v>0</v>
      </c>
      <c r="AG132" s="62">
        <f t="shared" ref="AG132:AX132" si="134">AG130*AG131/100*AG$11</f>
        <v>0</v>
      </c>
      <c r="AH132" s="62">
        <f t="shared" si="134"/>
        <v>0</v>
      </c>
      <c r="AI132" s="62">
        <f t="shared" si="134"/>
        <v>2.5156249999999996</v>
      </c>
      <c r="AJ132" s="62">
        <f t="shared" si="134"/>
        <v>0</v>
      </c>
      <c r="AK132" s="62">
        <f t="shared" si="134"/>
        <v>0</v>
      </c>
      <c r="AL132" s="62">
        <f t="shared" si="134"/>
        <v>0</v>
      </c>
      <c r="AM132" s="62"/>
      <c r="AN132" s="62"/>
      <c r="AO132" s="62"/>
      <c r="AP132" s="62">
        <f t="shared" si="134"/>
        <v>0</v>
      </c>
      <c r="AQ132" s="62">
        <f t="shared" si="134"/>
        <v>0</v>
      </c>
      <c r="AR132" s="62">
        <f t="shared" si="134"/>
        <v>0</v>
      </c>
      <c r="AS132" s="62">
        <f t="shared" si="134"/>
        <v>0</v>
      </c>
      <c r="AT132" s="62">
        <f t="shared" si="134"/>
        <v>0</v>
      </c>
      <c r="AU132" s="62">
        <f t="shared" si="134"/>
        <v>0</v>
      </c>
      <c r="AV132" s="62">
        <f t="shared" si="134"/>
        <v>0</v>
      </c>
      <c r="AW132" s="62">
        <f t="shared" si="134"/>
        <v>0</v>
      </c>
      <c r="AX132" s="62">
        <f t="shared" si="134"/>
        <v>0</v>
      </c>
      <c r="AY132" s="62">
        <f>AY130*AY131/100*AY$11</f>
        <v>0</v>
      </c>
      <c r="AZ132" s="62">
        <f>AZ130*AZ131/100*AZ$11</f>
        <v>0</v>
      </c>
      <c r="BA132" s="62">
        <f>BA130*BA131/100*BA$11</f>
        <v>0</v>
      </c>
      <c r="BB132" s="62">
        <f t="shared" ref="BB132:BI132" si="135">BB130*BB131/100*BB$11</f>
        <v>0</v>
      </c>
      <c r="BC132" s="62">
        <f t="shared" si="135"/>
        <v>0</v>
      </c>
      <c r="BD132" s="62">
        <f t="shared" si="135"/>
        <v>0</v>
      </c>
      <c r="BE132" s="62">
        <f t="shared" si="135"/>
        <v>0</v>
      </c>
      <c r="BF132" s="62">
        <f t="shared" si="135"/>
        <v>0</v>
      </c>
      <c r="BG132" s="62">
        <f t="shared" si="135"/>
        <v>0</v>
      </c>
      <c r="BH132" s="62">
        <f t="shared" si="135"/>
        <v>0</v>
      </c>
      <c r="BI132" s="62">
        <f t="shared" si="135"/>
        <v>0</v>
      </c>
      <c r="BJ132" s="62"/>
      <c r="BK132" s="62">
        <f>BK130*BK131/100*BK$11</f>
        <v>0</v>
      </c>
      <c r="BL132" s="62">
        <f>BL130*BL131/100*BL$11</f>
        <v>0</v>
      </c>
      <c r="BM132" s="62">
        <f>BM130*BM131/100*BM$11</f>
        <v>0</v>
      </c>
      <c r="BN132" s="62"/>
      <c r="BO132" s="62">
        <f t="shared" ref="BO132" si="136">BO130*BO131/100*BO$11</f>
        <v>0</v>
      </c>
      <c r="BP132" s="673">
        <f t="shared" ref="BP132:BR132" si="137">BP130*BP131/100*BP$11</f>
        <v>0</v>
      </c>
      <c r="BQ132" s="673">
        <f t="shared" si="137"/>
        <v>0</v>
      </c>
      <c r="BR132" s="673">
        <f t="shared" si="137"/>
        <v>0</v>
      </c>
      <c r="BS132" s="62"/>
      <c r="BT132" s="62"/>
      <c r="BU132" s="62"/>
      <c r="BV132" s="62"/>
      <c r="BW132" s="62"/>
      <c r="BX132" s="62"/>
      <c r="BY132" s="62"/>
      <c r="BZ132" s="62"/>
      <c r="CA132" s="62"/>
      <c r="CB132" s="62">
        <f>CB130*CB131/100*CB$11</f>
        <v>0</v>
      </c>
      <c r="CC132" s="62">
        <f>CC130*CC131/100*CC$11</f>
        <v>0</v>
      </c>
      <c r="CD132" s="62">
        <f>CD130*CD131/100*CD$11</f>
        <v>0</v>
      </c>
      <c r="CE132" s="62"/>
      <c r="CF132" s="62"/>
      <c r="CG132" s="62"/>
      <c r="CH132" s="696"/>
      <c r="CI132" s="696"/>
      <c r="CJ132" s="696"/>
      <c r="CK132" s="696"/>
      <c r="CL132" s="696"/>
      <c r="CM132" s="696"/>
      <c r="CO132" s="648">
        <f t="array" ref="CO132">SUM($F132:$CG132*$F$11:$CG$11)</f>
        <v>2.5156249999999996</v>
      </c>
      <c r="CP132" s="649"/>
      <c r="DS132" s="644"/>
      <c r="DT132" s="644"/>
      <c r="DU132" s="644"/>
      <c r="DV132" s="644"/>
      <c r="DW132" s="644"/>
      <c r="DX132" s="644"/>
      <c r="DY132" s="644"/>
      <c r="DZ132" s="644"/>
      <c r="EC132" s="644"/>
    </row>
    <row r="133" spans="1:133" s="70" customFormat="1" ht="14.25" hidden="1" customHeight="1" x14ac:dyDescent="0.2">
      <c r="A133" s="67" t="s">
        <v>8</v>
      </c>
      <c r="B133" s="131" t="s">
        <v>2</v>
      </c>
      <c r="C133" s="67"/>
      <c r="D133" s="67"/>
      <c r="E133" s="67"/>
      <c r="F133" s="69"/>
      <c r="G133" s="69"/>
      <c r="H133" s="69">
        <v>1</v>
      </c>
      <c r="I133" s="69"/>
      <c r="J133" s="69"/>
      <c r="K133" s="69">
        <v>1</v>
      </c>
      <c r="L133" s="69"/>
      <c r="M133" s="69"/>
      <c r="N133" s="69">
        <v>1</v>
      </c>
      <c r="O133" s="69"/>
      <c r="P133" s="69"/>
      <c r="Q133" s="69">
        <v>1</v>
      </c>
      <c r="R133" s="69"/>
      <c r="S133" s="69"/>
      <c r="T133" s="69"/>
      <c r="U133" s="69"/>
      <c r="V133" s="69">
        <v>1</v>
      </c>
      <c r="W133" s="69"/>
      <c r="X133" s="69"/>
      <c r="Y133" s="69"/>
      <c r="Z133" s="69"/>
      <c r="AA133" s="69">
        <v>1</v>
      </c>
      <c r="AB133" s="69"/>
      <c r="AC133" s="69"/>
      <c r="AD133" s="69"/>
      <c r="AE133" s="69"/>
      <c r="AF133" s="69">
        <v>1</v>
      </c>
      <c r="AG133" s="69"/>
      <c r="AH133" s="69"/>
      <c r="AI133" s="69">
        <v>1</v>
      </c>
      <c r="AJ133" s="69"/>
      <c r="AK133" s="69"/>
      <c r="AL133" s="69">
        <v>1</v>
      </c>
      <c r="AM133" s="69"/>
      <c r="AN133" s="69"/>
      <c r="AO133" s="69"/>
      <c r="AP133" s="69"/>
      <c r="AQ133" s="69"/>
      <c r="AR133" s="69">
        <v>1</v>
      </c>
      <c r="AS133" s="67"/>
      <c r="AT133" s="67"/>
      <c r="AU133" s="67">
        <v>1</v>
      </c>
      <c r="AV133" s="67"/>
      <c r="AW133" s="67"/>
      <c r="AX133" s="67">
        <v>1</v>
      </c>
      <c r="AY133" s="67"/>
      <c r="AZ133" s="67"/>
      <c r="BA133" s="67">
        <v>1</v>
      </c>
      <c r="BB133" s="67"/>
      <c r="BC133" s="67"/>
      <c r="BD133" s="67">
        <v>1</v>
      </c>
      <c r="BE133" s="67"/>
      <c r="BF133" s="67"/>
      <c r="BG133" s="67">
        <v>1</v>
      </c>
      <c r="BH133" s="67"/>
      <c r="BI133" s="67"/>
      <c r="BJ133" s="67"/>
      <c r="BK133" s="67">
        <v>1</v>
      </c>
      <c r="BL133" s="67"/>
      <c r="BM133" s="67"/>
      <c r="BN133" s="67"/>
      <c r="BO133" s="67">
        <v>1</v>
      </c>
      <c r="BP133" s="67"/>
      <c r="BQ133" s="67"/>
      <c r="BR133" s="67">
        <v>1</v>
      </c>
      <c r="BS133" s="67"/>
      <c r="BT133" s="67"/>
      <c r="BU133" s="67"/>
      <c r="BV133" s="67"/>
      <c r="BW133" s="67"/>
      <c r="BX133" s="67"/>
      <c r="BY133" s="67"/>
      <c r="BZ133" s="67"/>
      <c r="CA133" s="67"/>
      <c r="CB133" s="67"/>
      <c r="CC133" s="67"/>
      <c r="CD133" s="67">
        <v>1</v>
      </c>
      <c r="CE133" s="67"/>
      <c r="CF133" s="67"/>
      <c r="CG133" s="67"/>
      <c r="CH133" s="645"/>
      <c r="CI133" s="645"/>
      <c r="CJ133" s="645"/>
      <c r="CK133" s="645"/>
      <c r="CL133" s="645"/>
      <c r="CM133" s="645"/>
      <c r="CO133" s="144"/>
      <c r="CP133" s="151"/>
      <c r="CQ133" s="33"/>
      <c r="DR133" s="33"/>
      <c r="DS133" s="146"/>
      <c r="DT133" s="146"/>
      <c r="DU133" s="146"/>
      <c r="DV133" s="146"/>
      <c r="DW133" s="146"/>
      <c r="DX133" s="146"/>
      <c r="DY133" s="146"/>
      <c r="DZ133" s="146"/>
      <c r="EC133" s="146"/>
    </row>
    <row r="134" spans="1:133" ht="14.25" hidden="1" customHeight="1" x14ac:dyDescent="0.2">
      <c r="BF134" s="604"/>
      <c r="CO134" s="129"/>
    </row>
    <row r="135" spans="1:133" s="46" customFormat="1" ht="14.25" hidden="1" customHeight="1" x14ac:dyDescent="0.2">
      <c r="A135" s="97" t="s">
        <v>13</v>
      </c>
      <c r="B135" s="97" t="s">
        <v>1</v>
      </c>
      <c r="C135" s="97" t="s">
        <v>28</v>
      </c>
      <c r="D135" s="97"/>
      <c r="E135" s="97"/>
      <c r="F135" s="529">
        <f t="shared" ref="F135:N135" si="138">F130</f>
        <v>28.749999999999996</v>
      </c>
      <c r="G135" s="529">
        <f t="shared" si="138"/>
        <v>28.749999999999996</v>
      </c>
      <c r="H135" s="529">
        <f t="shared" si="138"/>
        <v>28.749999999999996</v>
      </c>
      <c r="I135" s="529">
        <f t="shared" si="138"/>
        <v>28.749999999999996</v>
      </c>
      <c r="J135" s="529">
        <f t="shared" si="138"/>
        <v>28.749999999999996</v>
      </c>
      <c r="K135" s="529">
        <f t="shared" si="138"/>
        <v>28.749999999999996</v>
      </c>
      <c r="L135" s="529">
        <f t="shared" si="138"/>
        <v>28.749999999999996</v>
      </c>
      <c r="M135" s="529">
        <f t="shared" si="138"/>
        <v>28.749999999999996</v>
      </c>
      <c r="N135" s="529">
        <f t="shared" si="138"/>
        <v>28.749999999999996</v>
      </c>
      <c r="O135" s="529">
        <f t="shared" ref="O135:Q137" si="139">O130</f>
        <v>28.749999999999996</v>
      </c>
      <c r="P135" s="529">
        <f t="shared" si="139"/>
        <v>28.749999999999996</v>
      </c>
      <c r="Q135" s="529">
        <f t="shared" si="139"/>
        <v>28.749999999999996</v>
      </c>
      <c r="R135" s="529">
        <f t="shared" ref="R135:V135" si="140">R130</f>
        <v>28.749999999999996</v>
      </c>
      <c r="S135" s="529"/>
      <c r="T135" s="529">
        <f t="shared" si="140"/>
        <v>28.749999999999996</v>
      </c>
      <c r="U135" s="529"/>
      <c r="V135" s="529">
        <f t="shared" si="140"/>
        <v>28.749999999999996</v>
      </c>
      <c r="W135" s="529">
        <f t="shared" ref="W135:AF135" si="141">W130</f>
        <v>28.749999999999996</v>
      </c>
      <c r="X135" s="529">
        <f t="shared" si="141"/>
        <v>28.749999999999996</v>
      </c>
      <c r="Y135" s="529">
        <f t="shared" si="141"/>
        <v>28.749999999999996</v>
      </c>
      <c r="Z135" s="529">
        <f t="shared" si="141"/>
        <v>28.749999999999996</v>
      </c>
      <c r="AA135" s="529">
        <f t="shared" si="141"/>
        <v>28.749999999999996</v>
      </c>
      <c r="AB135" s="529">
        <f t="shared" si="141"/>
        <v>28.749999999999996</v>
      </c>
      <c r="AC135" s="529">
        <f t="shared" si="141"/>
        <v>28.749999999999996</v>
      </c>
      <c r="AD135" s="529">
        <f t="shared" si="141"/>
        <v>28.749999999999996</v>
      </c>
      <c r="AE135" s="529">
        <f t="shared" si="141"/>
        <v>28.749999999999996</v>
      </c>
      <c r="AF135" s="529">
        <f t="shared" si="141"/>
        <v>28.749999999999996</v>
      </c>
      <c r="AG135" s="529">
        <f t="shared" ref="AG135:AX135" si="142">AG130</f>
        <v>28.749999999999996</v>
      </c>
      <c r="AH135" s="529">
        <f t="shared" si="142"/>
        <v>28.749999999999996</v>
      </c>
      <c r="AI135" s="529">
        <f t="shared" si="142"/>
        <v>28.749999999999996</v>
      </c>
      <c r="AJ135" s="529">
        <f t="shared" si="142"/>
        <v>28.749999999999996</v>
      </c>
      <c r="AK135" s="529">
        <f t="shared" si="142"/>
        <v>28.749999999999996</v>
      </c>
      <c r="AL135" s="529">
        <f t="shared" si="142"/>
        <v>28.749999999999996</v>
      </c>
      <c r="AM135" s="529"/>
      <c r="AN135" s="529"/>
      <c r="AO135" s="529"/>
      <c r="AP135" s="529">
        <f t="shared" si="142"/>
        <v>28.749999999999996</v>
      </c>
      <c r="AQ135" s="529">
        <f t="shared" si="142"/>
        <v>28.749999999999996</v>
      </c>
      <c r="AR135" s="529">
        <f t="shared" si="142"/>
        <v>28.749999999999996</v>
      </c>
      <c r="AS135" s="97">
        <f t="shared" si="142"/>
        <v>12.5</v>
      </c>
      <c r="AT135" s="97">
        <f t="shared" si="142"/>
        <v>12.5</v>
      </c>
      <c r="AU135" s="97">
        <f t="shared" si="142"/>
        <v>12.5</v>
      </c>
      <c r="AV135" s="97">
        <f t="shared" si="142"/>
        <v>12.5</v>
      </c>
      <c r="AW135" s="97">
        <f t="shared" si="142"/>
        <v>12.5</v>
      </c>
      <c r="AX135" s="97">
        <f t="shared" si="142"/>
        <v>12.5</v>
      </c>
      <c r="AY135" s="97">
        <f t="shared" ref="AY135:BO135" si="143">AY130</f>
        <v>12.5</v>
      </c>
      <c r="AZ135" s="97">
        <f t="shared" si="143"/>
        <v>12.5</v>
      </c>
      <c r="BA135" s="97">
        <f t="shared" si="143"/>
        <v>12.5</v>
      </c>
      <c r="BB135" s="97">
        <f t="shared" si="143"/>
        <v>10</v>
      </c>
      <c r="BC135" s="97">
        <f t="shared" si="143"/>
        <v>10</v>
      </c>
      <c r="BD135" s="97">
        <f t="shared" si="143"/>
        <v>10</v>
      </c>
      <c r="BE135" s="97">
        <f t="shared" si="143"/>
        <v>10</v>
      </c>
      <c r="BF135" s="97">
        <f t="shared" si="143"/>
        <v>10</v>
      </c>
      <c r="BG135" s="97">
        <f t="shared" si="143"/>
        <v>10</v>
      </c>
      <c r="BH135" s="97">
        <f t="shared" si="143"/>
        <v>10</v>
      </c>
      <c r="BI135" s="97">
        <f t="shared" si="143"/>
        <v>10</v>
      </c>
      <c r="BJ135" s="97">
        <f t="shared" si="143"/>
        <v>10</v>
      </c>
      <c r="BK135" s="97">
        <f t="shared" si="143"/>
        <v>10</v>
      </c>
      <c r="BL135" s="97">
        <f t="shared" si="143"/>
        <v>10</v>
      </c>
      <c r="BM135" s="97">
        <f t="shared" si="143"/>
        <v>10</v>
      </c>
      <c r="BN135" s="97">
        <f t="shared" si="143"/>
        <v>10</v>
      </c>
      <c r="BO135" s="97">
        <f t="shared" si="143"/>
        <v>10</v>
      </c>
      <c r="BP135" s="97">
        <f t="shared" ref="BP135:BR138" si="144">BP130</f>
        <v>0</v>
      </c>
      <c r="BQ135" s="97">
        <f t="shared" si="144"/>
        <v>0</v>
      </c>
      <c r="BR135" s="97">
        <f t="shared" si="144"/>
        <v>0</v>
      </c>
      <c r="BS135" s="97"/>
      <c r="BT135" s="97"/>
      <c r="BU135" s="97"/>
      <c r="BV135" s="97"/>
      <c r="BW135" s="97"/>
      <c r="BX135" s="97"/>
      <c r="BY135" s="97"/>
      <c r="BZ135" s="97"/>
      <c r="CA135" s="97"/>
      <c r="CB135" s="97">
        <f t="shared" ref="CB135:CD138" si="145">CB130</f>
        <v>0</v>
      </c>
      <c r="CC135" s="97">
        <f t="shared" si="145"/>
        <v>0</v>
      </c>
      <c r="CD135" s="97">
        <f t="shared" si="145"/>
        <v>0</v>
      </c>
      <c r="CE135" s="97"/>
      <c r="CF135" s="97"/>
      <c r="CG135" s="97"/>
      <c r="CH135" s="492"/>
      <c r="CI135" s="492"/>
      <c r="CJ135" s="492"/>
      <c r="CK135" s="492"/>
      <c r="CL135" s="492"/>
      <c r="CM135" s="492"/>
      <c r="CO135" s="533"/>
      <c r="CP135" s="531"/>
      <c r="DS135" s="492"/>
      <c r="DT135" s="492"/>
      <c r="DU135" s="492"/>
      <c r="DV135" s="492"/>
      <c r="DW135" s="492"/>
      <c r="DX135" s="492"/>
      <c r="DY135" s="492"/>
      <c r="DZ135" s="492"/>
      <c r="EC135" s="492"/>
    </row>
    <row r="136" spans="1:133" s="46" customFormat="1" ht="14.25" hidden="1" customHeight="1" x14ac:dyDescent="0.2">
      <c r="A136" s="97" t="s">
        <v>14</v>
      </c>
      <c r="B136" s="97" t="s">
        <v>1</v>
      </c>
      <c r="C136" s="97" t="s">
        <v>28</v>
      </c>
      <c r="D136" s="97"/>
      <c r="E136" s="97"/>
      <c r="F136" s="132">
        <f t="shared" ref="F136:N136" si="146">F131</f>
        <v>8.75</v>
      </c>
      <c r="G136" s="132">
        <f t="shared" si="146"/>
        <v>8.75</v>
      </c>
      <c r="H136" s="132">
        <f t="shared" si="146"/>
        <v>8.75</v>
      </c>
      <c r="I136" s="132">
        <f t="shared" si="146"/>
        <v>8.75</v>
      </c>
      <c r="J136" s="132">
        <f t="shared" si="146"/>
        <v>8.75</v>
      </c>
      <c r="K136" s="132">
        <f t="shared" si="146"/>
        <v>8.75</v>
      </c>
      <c r="L136" s="132">
        <f t="shared" si="146"/>
        <v>8.75</v>
      </c>
      <c r="M136" s="132">
        <f t="shared" si="146"/>
        <v>8.75</v>
      </c>
      <c r="N136" s="132">
        <f t="shared" si="146"/>
        <v>8.75</v>
      </c>
      <c r="O136" s="132">
        <f t="shared" si="139"/>
        <v>8.75</v>
      </c>
      <c r="P136" s="132">
        <f t="shared" si="139"/>
        <v>8.75</v>
      </c>
      <c r="Q136" s="132">
        <f t="shared" si="139"/>
        <v>8.75</v>
      </c>
      <c r="R136" s="132">
        <f t="shared" ref="R136:V136" si="147">R131</f>
        <v>8.75</v>
      </c>
      <c r="S136" s="132"/>
      <c r="T136" s="132">
        <f t="shared" si="147"/>
        <v>8.75</v>
      </c>
      <c r="U136" s="132"/>
      <c r="V136" s="132">
        <f t="shared" si="147"/>
        <v>8.75</v>
      </c>
      <c r="W136" s="132">
        <f t="shared" ref="W136:AF136" si="148">W131</f>
        <v>8.75</v>
      </c>
      <c r="X136" s="132">
        <f t="shared" si="148"/>
        <v>8.75</v>
      </c>
      <c r="Y136" s="132">
        <f t="shared" si="148"/>
        <v>8.75</v>
      </c>
      <c r="Z136" s="132">
        <f t="shared" si="148"/>
        <v>8.75</v>
      </c>
      <c r="AA136" s="132">
        <f t="shared" si="148"/>
        <v>8.75</v>
      </c>
      <c r="AB136" s="132">
        <f t="shared" si="148"/>
        <v>8.75</v>
      </c>
      <c r="AC136" s="132">
        <f t="shared" si="148"/>
        <v>8.75</v>
      </c>
      <c r="AD136" s="132">
        <f t="shared" si="148"/>
        <v>8.75</v>
      </c>
      <c r="AE136" s="132">
        <f t="shared" si="148"/>
        <v>8.75</v>
      </c>
      <c r="AF136" s="132">
        <f t="shared" si="148"/>
        <v>8.75</v>
      </c>
      <c r="AG136" s="132">
        <f t="shared" ref="AG136:AX136" si="149">AG131</f>
        <v>8.75</v>
      </c>
      <c r="AH136" s="132">
        <f t="shared" si="149"/>
        <v>8.75</v>
      </c>
      <c r="AI136" s="132">
        <f t="shared" si="149"/>
        <v>8.75</v>
      </c>
      <c r="AJ136" s="132">
        <f t="shared" si="149"/>
        <v>8.75</v>
      </c>
      <c r="AK136" s="132">
        <f t="shared" si="149"/>
        <v>8.75</v>
      </c>
      <c r="AL136" s="132">
        <f t="shared" si="149"/>
        <v>8.75</v>
      </c>
      <c r="AM136" s="132"/>
      <c r="AN136" s="132"/>
      <c r="AO136" s="132"/>
      <c r="AP136" s="132">
        <f t="shared" si="149"/>
        <v>0</v>
      </c>
      <c r="AQ136" s="132">
        <f t="shared" si="149"/>
        <v>0</v>
      </c>
      <c r="AR136" s="132">
        <f t="shared" si="149"/>
        <v>0</v>
      </c>
      <c r="AS136" s="97">
        <f t="shared" si="149"/>
        <v>3.75</v>
      </c>
      <c r="AT136" s="97">
        <f t="shared" si="149"/>
        <v>3.75</v>
      </c>
      <c r="AU136" s="97">
        <f t="shared" si="149"/>
        <v>3.75</v>
      </c>
      <c r="AV136" s="97">
        <f t="shared" si="149"/>
        <v>3.75</v>
      </c>
      <c r="AW136" s="97">
        <f t="shared" si="149"/>
        <v>3.75</v>
      </c>
      <c r="AX136" s="97">
        <f t="shared" si="149"/>
        <v>3.75</v>
      </c>
      <c r="AY136" s="97">
        <f t="shared" ref="AY136:BI136" si="150">AY131</f>
        <v>3.75</v>
      </c>
      <c r="AZ136" s="97">
        <f t="shared" si="150"/>
        <v>3.75</v>
      </c>
      <c r="BA136" s="97">
        <f t="shared" si="150"/>
        <v>3.75</v>
      </c>
      <c r="BB136" s="97">
        <f t="shared" si="150"/>
        <v>2.5</v>
      </c>
      <c r="BC136" s="97">
        <f t="shared" si="150"/>
        <v>2.5</v>
      </c>
      <c r="BD136" s="97">
        <f t="shared" si="150"/>
        <v>2.5</v>
      </c>
      <c r="BE136" s="97">
        <f t="shared" si="150"/>
        <v>0</v>
      </c>
      <c r="BF136" s="97">
        <f t="shared" si="150"/>
        <v>0</v>
      </c>
      <c r="BG136" s="97">
        <f t="shared" si="150"/>
        <v>0</v>
      </c>
      <c r="BH136" s="97">
        <f t="shared" si="150"/>
        <v>0</v>
      </c>
      <c r="BI136" s="97">
        <f t="shared" si="150"/>
        <v>0</v>
      </c>
      <c r="BJ136" s="97"/>
      <c r="BK136" s="97">
        <f t="shared" ref="BK136:BM138" si="151">BK131</f>
        <v>0</v>
      </c>
      <c r="BL136" s="97">
        <f t="shared" si="151"/>
        <v>0</v>
      </c>
      <c r="BM136" s="97">
        <f t="shared" si="151"/>
        <v>0</v>
      </c>
      <c r="BN136" s="97"/>
      <c r="BO136" s="97">
        <f t="shared" ref="BO136" si="152">BO131</f>
        <v>0</v>
      </c>
      <c r="BP136" s="97">
        <f t="shared" si="144"/>
        <v>0</v>
      </c>
      <c r="BQ136" s="97">
        <f t="shared" si="144"/>
        <v>0</v>
      </c>
      <c r="BR136" s="97">
        <f t="shared" si="144"/>
        <v>0</v>
      </c>
      <c r="BS136" s="97"/>
      <c r="BT136" s="97"/>
      <c r="BU136" s="97"/>
      <c r="BV136" s="97"/>
      <c r="BW136" s="97"/>
      <c r="BX136" s="97"/>
      <c r="BY136" s="97"/>
      <c r="BZ136" s="97"/>
      <c r="CA136" s="97"/>
      <c r="CB136" s="97">
        <f t="shared" si="145"/>
        <v>0</v>
      </c>
      <c r="CC136" s="97">
        <f t="shared" si="145"/>
        <v>0</v>
      </c>
      <c r="CD136" s="97">
        <f t="shared" si="145"/>
        <v>0</v>
      </c>
      <c r="CE136" s="97"/>
      <c r="CF136" s="97"/>
      <c r="CG136" s="97"/>
      <c r="CH136" s="492"/>
      <c r="CI136" s="492"/>
      <c r="CJ136" s="492"/>
      <c r="CK136" s="492"/>
      <c r="CL136" s="492"/>
      <c r="CM136" s="492"/>
      <c r="CO136" s="532">
        <f t="array" ref="CO136">SUM($F136:$CG136*$F$11:$CG$11)</f>
        <v>8.75</v>
      </c>
      <c r="CP136" s="531"/>
      <c r="DS136" s="492"/>
      <c r="DT136" s="492"/>
      <c r="DU136" s="492"/>
      <c r="DV136" s="492"/>
      <c r="DW136" s="492"/>
      <c r="DX136" s="492"/>
      <c r="DY136" s="492"/>
      <c r="DZ136" s="492"/>
      <c r="EC136" s="492"/>
    </row>
    <row r="137" spans="1:133" s="64" customFormat="1" ht="14.25" hidden="1" customHeight="1" x14ac:dyDescent="0.2">
      <c r="A137" s="58" t="s">
        <v>39</v>
      </c>
      <c r="B137" s="58" t="s">
        <v>1</v>
      </c>
      <c r="C137" s="58"/>
      <c r="D137" s="58"/>
      <c r="E137" s="58"/>
      <c r="F137" s="62">
        <f t="shared" ref="F137:N137" si="153">F132</f>
        <v>0</v>
      </c>
      <c r="G137" s="62">
        <f t="shared" si="153"/>
        <v>0</v>
      </c>
      <c r="H137" s="62">
        <f t="shared" si="153"/>
        <v>0</v>
      </c>
      <c r="I137" s="62">
        <f t="shared" si="153"/>
        <v>0</v>
      </c>
      <c r="J137" s="62">
        <f t="shared" si="153"/>
        <v>0</v>
      </c>
      <c r="K137" s="62">
        <f t="shared" si="153"/>
        <v>0</v>
      </c>
      <c r="L137" s="62">
        <f t="shared" si="153"/>
        <v>0</v>
      </c>
      <c r="M137" s="62">
        <f t="shared" si="153"/>
        <v>0</v>
      </c>
      <c r="N137" s="62">
        <f t="shared" si="153"/>
        <v>0</v>
      </c>
      <c r="O137" s="62">
        <f t="shared" si="139"/>
        <v>0</v>
      </c>
      <c r="P137" s="62">
        <f t="shared" si="139"/>
        <v>0</v>
      </c>
      <c r="Q137" s="62">
        <f t="shared" si="139"/>
        <v>0</v>
      </c>
      <c r="R137" s="62">
        <f t="shared" ref="R137:V137" si="154">R132</f>
        <v>0</v>
      </c>
      <c r="S137" s="62"/>
      <c r="T137" s="62">
        <f t="shared" si="154"/>
        <v>0</v>
      </c>
      <c r="U137" s="62"/>
      <c r="V137" s="62">
        <f t="shared" si="154"/>
        <v>0</v>
      </c>
      <c r="W137" s="62">
        <f t="shared" ref="W137:AF137" si="155">W132</f>
        <v>0</v>
      </c>
      <c r="X137" s="62">
        <f t="shared" si="155"/>
        <v>0</v>
      </c>
      <c r="Y137" s="62">
        <f t="shared" si="155"/>
        <v>0</v>
      </c>
      <c r="Z137" s="62">
        <f t="shared" si="155"/>
        <v>0</v>
      </c>
      <c r="AA137" s="62">
        <f t="shared" si="155"/>
        <v>0</v>
      </c>
      <c r="AB137" s="62">
        <f t="shared" si="155"/>
        <v>0</v>
      </c>
      <c r="AC137" s="62"/>
      <c r="AD137" s="62"/>
      <c r="AE137" s="62">
        <f t="shared" si="155"/>
        <v>0</v>
      </c>
      <c r="AF137" s="62">
        <f t="shared" si="155"/>
        <v>0</v>
      </c>
      <c r="AG137" s="62">
        <f t="shared" ref="AG137:AX137" si="156">AG132</f>
        <v>0</v>
      </c>
      <c r="AH137" s="62">
        <f t="shared" si="156"/>
        <v>0</v>
      </c>
      <c r="AI137" s="62">
        <f t="shared" si="156"/>
        <v>2.5156249999999996</v>
      </c>
      <c r="AJ137" s="62">
        <f t="shared" si="156"/>
        <v>0</v>
      </c>
      <c r="AK137" s="62">
        <f t="shared" si="156"/>
        <v>0</v>
      </c>
      <c r="AL137" s="62">
        <f t="shared" si="156"/>
        <v>0</v>
      </c>
      <c r="AM137" s="62"/>
      <c r="AN137" s="62"/>
      <c r="AO137" s="62"/>
      <c r="AP137" s="62">
        <f t="shared" si="156"/>
        <v>0</v>
      </c>
      <c r="AQ137" s="62">
        <f t="shared" si="156"/>
        <v>0</v>
      </c>
      <c r="AR137" s="62">
        <f t="shared" si="156"/>
        <v>0</v>
      </c>
      <c r="AS137" s="62">
        <f t="shared" si="156"/>
        <v>0</v>
      </c>
      <c r="AT137" s="62">
        <f t="shared" si="156"/>
        <v>0</v>
      </c>
      <c r="AU137" s="62">
        <f t="shared" si="156"/>
        <v>0</v>
      </c>
      <c r="AV137" s="62">
        <f t="shared" si="156"/>
        <v>0</v>
      </c>
      <c r="AW137" s="62">
        <f t="shared" si="156"/>
        <v>0</v>
      </c>
      <c r="AX137" s="62">
        <f t="shared" si="156"/>
        <v>0</v>
      </c>
      <c r="AY137" s="62">
        <f t="shared" ref="AY137:BI137" si="157">AY132</f>
        <v>0</v>
      </c>
      <c r="AZ137" s="62">
        <f t="shared" si="157"/>
        <v>0</v>
      </c>
      <c r="BA137" s="62">
        <f t="shared" si="157"/>
        <v>0</v>
      </c>
      <c r="BB137" s="62">
        <f t="shared" si="157"/>
        <v>0</v>
      </c>
      <c r="BC137" s="62">
        <f t="shared" si="157"/>
        <v>0</v>
      </c>
      <c r="BD137" s="62">
        <f t="shared" si="157"/>
        <v>0</v>
      </c>
      <c r="BE137" s="62">
        <f t="shared" si="157"/>
        <v>0</v>
      </c>
      <c r="BF137" s="62">
        <f t="shared" si="157"/>
        <v>0</v>
      </c>
      <c r="BG137" s="62">
        <f t="shared" si="157"/>
        <v>0</v>
      </c>
      <c r="BH137" s="62">
        <f t="shared" si="157"/>
        <v>0</v>
      </c>
      <c r="BI137" s="62">
        <f t="shared" si="157"/>
        <v>0</v>
      </c>
      <c r="BJ137" s="62"/>
      <c r="BK137" s="62">
        <f t="shared" si="151"/>
        <v>0</v>
      </c>
      <c r="BL137" s="62">
        <f t="shared" si="151"/>
        <v>0</v>
      </c>
      <c r="BM137" s="62">
        <f t="shared" si="151"/>
        <v>0</v>
      </c>
      <c r="BN137" s="62"/>
      <c r="BO137" s="62">
        <f t="shared" ref="BO137" si="158">BO132</f>
        <v>0</v>
      </c>
      <c r="BP137" s="673">
        <f t="shared" si="144"/>
        <v>0</v>
      </c>
      <c r="BQ137" s="673">
        <f t="shared" si="144"/>
        <v>0</v>
      </c>
      <c r="BR137" s="673">
        <f t="shared" si="144"/>
        <v>0</v>
      </c>
      <c r="BS137" s="62"/>
      <c r="BT137" s="62"/>
      <c r="BU137" s="62"/>
      <c r="BV137" s="62"/>
      <c r="BW137" s="62"/>
      <c r="BX137" s="62"/>
      <c r="BY137" s="62"/>
      <c r="BZ137" s="62"/>
      <c r="CA137" s="62"/>
      <c r="CB137" s="62">
        <f t="shared" si="145"/>
        <v>0</v>
      </c>
      <c r="CC137" s="62">
        <f t="shared" si="145"/>
        <v>0</v>
      </c>
      <c r="CD137" s="62">
        <f t="shared" si="145"/>
        <v>0</v>
      </c>
      <c r="CE137" s="62"/>
      <c r="CF137" s="62"/>
      <c r="CG137" s="62"/>
      <c r="CH137" s="696"/>
      <c r="CI137" s="696"/>
      <c r="CJ137" s="696"/>
      <c r="CK137" s="696"/>
      <c r="CL137" s="696"/>
      <c r="CM137" s="696"/>
      <c r="CO137" s="648">
        <f t="array" ref="CO137">SUM($F137:$CG137*$F$11:$CG$11)</f>
        <v>2.5156249999999996</v>
      </c>
      <c r="CP137" s="649"/>
      <c r="DS137" s="644"/>
      <c r="DT137" s="644"/>
      <c r="DU137" s="644"/>
      <c r="DV137" s="644"/>
      <c r="DW137" s="644"/>
      <c r="DX137" s="644"/>
      <c r="DY137" s="644"/>
      <c r="DZ137" s="644"/>
      <c r="EC137" s="644"/>
    </row>
    <row r="138" spans="1:133" s="70" customFormat="1" ht="14.25" hidden="1" customHeight="1" x14ac:dyDescent="0.2">
      <c r="A138" s="67" t="s">
        <v>8</v>
      </c>
      <c r="B138" s="67" t="s">
        <v>1</v>
      </c>
      <c r="C138" s="67" t="s">
        <v>41</v>
      </c>
      <c r="D138" s="67"/>
      <c r="E138" s="67"/>
      <c r="F138" s="69">
        <f t="shared" ref="F138:N138" si="159">F133</f>
        <v>0</v>
      </c>
      <c r="G138" s="69">
        <f t="shared" si="159"/>
        <v>0</v>
      </c>
      <c r="H138" s="69">
        <f t="shared" si="159"/>
        <v>1</v>
      </c>
      <c r="I138" s="69">
        <f t="shared" si="159"/>
        <v>0</v>
      </c>
      <c r="J138" s="69">
        <f t="shared" si="159"/>
        <v>0</v>
      </c>
      <c r="K138" s="69">
        <f t="shared" si="159"/>
        <v>1</v>
      </c>
      <c r="L138" s="69">
        <f t="shared" si="159"/>
        <v>0</v>
      </c>
      <c r="M138" s="69">
        <f t="shared" si="159"/>
        <v>0</v>
      </c>
      <c r="N138" s="69">
        <f t="shared" si="159"/>
        <v>1</v>
      </c>
      <c r="O138" s="69">
        <f>O133</f>
        <v>0</v>
      </c>
      <c r="P138" s="69">
        <f>P133</f>
        <v>0</v>
      </c>
      <c r="Q138" s="69">
        <f>Q133</f>
        <v>1</v>
      </c>
      <c r="R138" s="69">
        <f t="shared" ref="R138:V138" si="160">R133</f>
        <v>0</v>
      </c>
      <c r="S138" s="69"/>
      <c r="T138" s="69">
        <f t="shared" si="160"/>
        <v>0</v>
      </c>
      <c r="U138" s="69"/>
      <c r="V138" s="69">
        <f t="shared" si="160"/>
        <v>1</v>
      </c>
      <c r="W138" s="69">
        <f t="shared" ref="W138:AF138" si="161">W133</f>
        <v>0</v>
      </c>
      <c r="X138" s="69">
        <f t="shared" si="161"/>
        <v>0</v>
      </c>
      <c r="Y138" s="69">
        <f t="shared" si="161"/>
        <v>0</v>
      </c>
      <c r="Z138" s="69">
        <f t="shared" si="161"/>
        <v>0</v>
      </c>
      <c r="AA138" s="69">
        <f t="shared" si="161"/>
        <v>1</v>
      </c>
      <c r="AB138" s="69">
        <f t="shared" si="161"/>
        <v>0</v>
      </c>
      <c r="AC138" s="69"/>
      <c r="AD138" s="69"/>
      <c r="AE138" s="69">
        <f t="shared" si="161"/>
        <v>0</v>
      </c>
      <c r="AF138" s="69">
        <f t="shared" si="161"/>
        <v>1</v>
      </c>
      <c r="AG138" s="69">
        <f t="shared" ref="AG138:AU138" si="162">AG133</f>
        <v>0</v>
      </c>
      <c r="AH138" s="69">
        <f t="shared" si="162"/>
        <v>0</v>
      </c>
      <c r="AI138" s="69">
        <f t="shared" si="162"/>
        <v>1</v>
      </c>
      <c r="AJ138" s="69">
        <f t="shared" si="162"/>
        <v>0</v>
      </c>
      <c r="AK138" s="69">
        <f t="shared" si="162"/>
        <v>0</v>
      </c>
      <c r="AL138" s="69">
        <f t="shared" si="162"/>
        <v>1</v>
      </c>
      <c r="AM138" s="69"/>
      <c r="AN138" s="69"/>
      <c r="AO138" s="69"/>
      <c r="AP138" s="69">
        <f t="shared" si="162"/>
        <v>0</v>
      </c>
      <c r="AQ138" s="69">
        <f t="shared" si="162"/>
        <v>0</v>
      </c>
      <c r="AR138" s="69">
        <f t="shared" si="162"/>
        <v>1</v>
      </c>
      <c r="AS138" s="67">
        <f t="shared" si="162"/>
        <v>0</v>
      </c>
      <c r="AT138" s="67">
        <f t="shared" si="162"/>
        <v>0</v>
      </c>
      <c r="AU138" s="67">
        <f t="shared" si="162"/>
        <v>1</v>
      </c>
      <c r="AV138" s="67"/>
      <c r="AW138" s="67"/>
      <c r="AX138" s="67">
        <v>1</v>
      </c>
      <c r="AY138" s="67">
        <f t="shared" ref="AY138:BD138" si="163">AY133</f>
        <v>0</v>
      </c>
      <c r="AZ138" s="67">
        <f t="shared" si="163"/>
        <v>0</v>
      </c>
      <c r="BA138" s="67">
        <f t="shared" si="163"/>
        <v>1</v>
      </c>
      <c r="BB138" s="67">
        <f t="shared" si="163"/>
        <v>0</v>
      </c>
      <c r="BC138" s="67">
        <f t="shared" si="163"/>
        <v>0</v>
      </c>
      <c r="BD138" s="67">
        <f t="shared" si="163"/>
        <v>1</v>
      </c>
      <c r="BE138" s="67">
        <f t="shared" ref="BE138:BI138" si="164">BE133</f>
        <v>0</v>
      </c>
      <c r="BF138" s="67">
        <f t="shared" si="164"/>
        <v>0</v>
      </c>
      <c r="BG138" s="67">
        <f t="shared" si="164"/>
        <v>1</v>
      </c>
      <c r="BH138" s="67">
        <f t="shared" si="164"/>
        <v>0</v>
      </c>
      <c r="BI138" s="67">
        <f t="shared" si="164"/>
        <v>0</v>
      </c>
      <c r="BJ138" s="67"/>
      <c r="BK138" s="67">
        <f t="shared" si="151"/>
        <v>1</v>
      </c>
      <c r="BL138" s="67">
        <f t="shared" si="151"/>
        <v>0</v>
      </c>
      <c r="BM138" s="67">
        <f t="shared" si="151"/>
        <v>0</v>
      </c>
      <c r="BN138" s="67"/>
      <c r="BO138" s="67">
        <f t="shared" ref="BO138" si="165">BO133</f>
        <v>1</v>
      </c>
      <c r="BP138" s="57">
        <f t="shared" si="144"/>
        <v>0</v>
      </c>
      <c r="BQ138" s="57">
        <f t="shared" si="144"/>
        <v>0</v>
      </c>
      <c r="BR138" s="57">
        <f t="shared" si="144"/>
        <v>1</v>
      </c>
      <c r="BS138" s="67"/>
      <c r="BT138" s="67"/>
      <c r="BU138" s="67"/>
      <c r="BV138" s="67"/>
      <c r="BW138" s="67"/>
      <c r="BX138" s="67"/>
      <c r="BY138" s="67"/>
      <c r="BZ138" s="67"/>
      <c r="CA138" s="67"/>
      <c r="CB138" s="67">
        <f t="shared" si="145"/>
        <v>0</v>
      </c>
      <c r="CC138" s="67">
        <f t="shared" si="145"/>
        <v>0</v>
      </c>
      <c r="CD138" s="67">
        <f t="shared" si="145"/>
        <v>1</v>
      </c>
      <c r="CE138" s="67"/>
      <c r="CF138" s="67"/>
      <c r="CG138" s="67"/>
      <c r="CH138" s="645"/>
      <c r="CI138" s="645"/>
      <c r="CJ138" s="645"/>
      <c r="CK138" s="645"/>
      <c r="CL138" s="645"/>
      <c r="CM138" s="645"/>
      <c r="CO138" s="659"/>
      <c r="CP138" s="653"/>
      <c r="DS138" s="645"/>
      <c r="DT138" s="645"/>
      <c r="DU138" s="645"/>
      <c r="DV138" s="645"/>
      <c r="DW138" s="645"/>
      <c r="DX138" s="645"/>
      <c r="DY138" s="645"/>
      <c r="DZ138" s="645"/>
      <c r="EC138" s="645"/>
    </row>
    <row r="139" spans="1:133" ht="14.25" hidden="1" customHeight="1" x14ac:dyDescent="0.2">
      <c r="BF139" s="604"/>
      <c r="CO139" s="129"/>
    </row>
    <row r="140" spans="1:133" ht="14.25" hidden="1" customHeight="1" x14ac:dyDescent="0.2">
      <c r="A140" s="58" t="s">
        <v>13</v>
      </c>
      <c r="B140" s="58" t="s">
        <v>176</v>
      </c>
      <c r="C140" s="58" t="s">
        <v>28</v>
      </c>
      <c r="D140" s="58"/>
      <c r="E140" s="58"/>
      <c r="F140" s="62">
        <f>SUM($H$141,$K$141,$N$141,$Q$141,$V$141,$AA$141,$AF$141,$AI$141,$AL$141,$AR$141,$AU$141,$AX$141,$BA$141,$BD$141,$AO$141)</f>
        <v>50</v>
      </c>
      <c r="G140" s="62">
        <f t="shared" ref="G140:BD140" si="166">SUM($H$141,$K$141,$N$141,$Q$141,$V$141,$AA$141,$AF$141,$AI$141,$AL$141,$AR$141,$AU$141,$AX$141,$BA$141,$BD$141,$AO$141)</f>
        <v>50</v>
      </c>
      <c r="H140" s="62">
        <f t="shared" si="166"/>
        <v>50</v>
      </c>
      <c r="I140" s="62">
        <f t="shared" si="166"/>
        <v>50</v>
      </c>
      <c r="J140" s="62">
        <f t="shared" si="166"/>
        <v>50</v>
      </c>
      <c r="K140" s="62">
        <f t="shared" si="166"/>
        <v>50</v>
      </c>
      <c r="L140" s="62">
        <f t="shared" si="166"/>
        <v>50</v>
      </c>
      <c r="M140" s="62">
        <f t="shared" si="166"/>
        <v>50</v>
      </c>
      <c r="N140" s="62">
        <f t="shared" si="166"/>
        <v>50</v>
      </c>
      <c r="O140" s="62">
        <f t="shared" si="166"/>
        <v>50</v>
      </c>
      <c r="P140" s="62">
        <f t="shared" si="166"/>
        <v>50</v>
      </c>
      <c r="Q140" s="62">
        <f t="shared" si="166"/>
        <v>50</v>
      </c>
      <c r="R140" s="62">
        <f t="shared" si="166"/>
        <v>50</v>
      </c>
      <c r="S140" s="62">
        <f t="shared" si="166"/>
        <v>50</v>
      </c>
      <c r="T140" s="62">
        <f t="shared" si="166"/>
        <v>50</v>
      </c>
      <c r="U140" s="62">
        <f t="shared" si="166"/>
        <v>50</v>
      </c>
      <c r="V140" s="62">
        <f t="shared" si="166"/>
        <v>50</v>
      </c>
      <c r="W140" s="62">
        <f t="shared" si="166"/>
        <v>50</v>
      </c>
      <c r="X140" s="62">
        <f t="shared" si="166"/>
        <v>50</v>
      </c>
      <c r="Y140" s="62">
        <f t="shared" si="166"/>
        <v>50</v>
      </c>
      <c r="Z140" s="62">
        <f t="shared" si="166"/>
        <v>50</v>
      </c>
      <c r="AA140" s="62">
        <f t="shared" si="166"/>
        <v>50</v>
      </c>
      <c r="AB140" s="62">
        <f t="shared" si="166"/>
        <v>50</v>
      </c>
      <c r="AC140" s="62">
        <f t="shared" si="166"/>
        <v>50</v>
      </c>
      <c r="AD140" s="62">
        <f t="shared" si="166"/>
        <v>50</v>
      </c>
      <c r="AE140" s="62">
        <f t="shared" si="166"/>
        <v>50</v>
      </c>
      <c r="AF140" s="62">
        <f t="shared" si="166"/>
        <v>50</v>
      </c>
      <c r="AG140" s="62">
        <f t="shared" si="166"/>
        <v>50</v>
      </c>
      <c r="AH140" s="62">
        <f t="shared" si="166"/>
        <v>50</v>
      </c>
      <c r="AI140" s="62">
        <f t="shared" si="166"/>
        <v>50</v>
      </c>
      <c r="AJ140" s="62">
        <f t="shared" si="166"/>
        <v>50</v>
      </c>
      <c r="AK140" s="62">
        <f t="shared" si="166"/>
        <v>50</v>
      </c>
      <c r="AL140" s="62">
        <f t="shared" si="166"/>
        <v>50</v>
      </c>
      <c r="AM140" s="62">
        <f t="shared" si="166"/>
        <v>50</v>
      </c>
      <c r="AN140" s="62">
        <f t="shared" si="166"/>
        <v>50</v>
      </c>
      <c r="AO140" s="62">
        <f t="shared" si="166"/>
        <v>50</v>
      </c>
      <c r="AP140" s="62">
        <f t="shared" si="166"/>
        <v>50</v>
      </c>
      <c r="AQ140" s="62">
        <f t="shared" si="166"/>
        <v>50</v>
      </c>
      <c r="AR140" s="62">
        <f t="shared" si="166"/>
        <v>50</v>
      </c>
      <c r="AS140" s="62">
        <f t="shared" si="166"/>
        <v>50</v>
      </c>
      <c r="AT140" s="62">
        <f t="shared" si="166"/>
        <v>50</v>
      </c>
      <c r="AU140" s="62">
        <f t="shared" si="166"/>
        <v>50</v>
      </c>
      <c r="AV140" s="62">
        <f t="shared" si="166"/>
        <v>50</v>
      </c>
      <c r="AW140" s="62">
        <f t="shared" si="166"/>
        <v>50</v>
      </c>
      <c r="AX140" s="62">
        <f t="shared" si="166"/>
        <v>50</v>
      </c>
      <c r="AY140" s="62">
        <f t="shared" si="166"/>
        <v>50</v>
      </c>
      <c r="AZ140" s="62">
        <f t="shared" si="166"/>
        <v>50</v>
      </c>
      <c r="BA140" s="62">
        <f t="shared" si="166"/>
        <v>50</v>
      </c>
      <c r="BB140" s="62">
        <f t="shared" si="166"/>
        <v>50</v>
      </c>
      <c r="BC140" s="62">
        <f t="shared" si="166"/>
        <v>50</v>
      </c>
      <c r="BD140" s="62">
        <f t="shared" si="166"/>
        <v>50</v>
      </c>
      <c r="BE140" s="58">
        <f>SUM($BG$141,$BK$141,$BO$141)</f>
        <v>18</v>
      </c>
      <c r="BF140" s="756">
        <f t="shared" ref="BF140:BO140" si="167">SUM($BG$141,$BK$141,$BO$141)</f>
        <v>18</v>
      </c>
      <c r="BG140" s="756">
        <f t="shared" si="167"/>
        <v>18</v>
      </c>
      <c r="BH140" s="756">
        <f t="shared" si="167"/>
        <v>18</v>
      </c>
      <c r="BI140" s="756">
        <f t="shared" si="167"/>
        <v>18</v>
      </c>
      <c r="BJ140" s="756">
        <f t="shared" si="167"/>
        <v>18</v>
      </c>
      <c r="BK140" s="756">
        <f t="shared" si="167"/>
        <v>18</v>
      </c>
      <c r="BL140" s="756">
        <f t="shared" si="167"/>
        <v>18</v>
      </c>
      <c r="BM140" s="756">
        <f t="shared" si="167"/>
        <v>18</v>
      </c>
      <c r="BN140" s="756">
        <f t="shared" si="167"/>
        <v>18</v>
      </c>
      <c r="BO140" s="756">
        <f t="shared" si="167"/>
        <v>18</v>
      </c>
      <c r="BP140" s="756">
        <f t="shared" ref="BP140:CA140" si="168">SUM($BR$141,$BU$141,$BX$141,$CA$141)</f>
        <v>23</v>
      </c>
      <c r="BQ140" s="756">
        <f t="shared" si="168"/>
        <v>23</v>
      </c>
      <c r="BR140" s="756">
        <f t="shared" si="168"/>
        <v>23</v>
      </c>
      <c r="BS140" s="756">
        <f t="shared" si="168"/>
        <v>23</v>
      </c>
      <c r="BT140" s="756">
        <f t="shared" si="168"/>
        <v>23</v>
      </c>
      <c r="BU140" s="756">
        <f t="shared" si="168"/>
        <v>23</v>
      </c>
      <c r="BV140" s="756">
        <f t="shared" si="168"/>
        <v>23</v>
      </c>
      <c r="BW140" s="756">
        <f t="shared" si="168"/>
        <v>23</v>
      </c>
      <c r="BX140" s="58">
        <f>SUM($BR$141,$BU$141,$BX$141,$CA$141)</f>
        <v>23</v>
      </c>
      <c r="BY140" s="756">
        <f t="shared" si="168"/>
        <v>23</v>
      </c>
      <c r="BZ140" s="756">
        <f t="shared" si="168"/>
        <v>23</v>
      </c>
      <c r="CA140" s="756">
        <f t="shared" si="168"/>
        <v>23</v>
      </c>
      <c r="CB140" s="58">
        <f t="shared" ref="CB140:CL140" si="169">SUM($CD$141,$CG$141,$CJ$141,$CM$141)</f>
        <v>9</v>
      </c>
      <c r="CC140" s="58">
        <f t="shared" si="169"/>
        <v>9</v>
      </c>
      <c r="CD140" s="58">
        <f t="shared" si="169"/>
        <v>9</v>
      </c>
      <c r="CE140" s="58">
        <f t="shared" si="169"/>
        <v>9</v>
      </c>
      <c r="CF140" s="58">
        <f t="shared" si="169"/>
        <v>9</v>
      </c>
      <c r="CG140" s="58">
        <f>SUM($CD$141,$CG$141,$CJ$141,$CM$141)</f>
        <v>9</v>
      </c>
      <c r="CH140" s="58">
        <f t="shared" si="169"/>
        <v>9</v>
      </c>
      <c r="CI140" s="58">
        <f t="shared" si="169"/>
        <v>9</v>
      </c>
      <c r="CJ140" s="58">
        <f t="shared" si="169"/>
        <v>9</v>
      </c>
      <c r="CK140" s="58">
        <f t="shared" si="169"/>
        <v>9</v>
      </c>
      <c r="CL140" s="58">
        <f t="shared" si="169"/>
        <v>9</v>
      </c>
      <c r="CM140" s="58">
        <f>SUM($CD$141,$CG$141,$CJ$141,$CM$141)</f>
        <v>9</v>
      </c>
      <c r="CO140" s="142"/>
    </row>
    <row r="141" spans="1:133" s="655" customFormat="1" ht="14.25" hidden="1" customHeight="1" x14ac:dyDescent="0.2">
      <c r="A141" s="654" t="s">
        <v>14</v>
      </c>
      <c r="B141" s="654" t="s">
        <v>176</v>
      </c>
      <c r="C141" s="654" t="s">
        <v>28</v>
      </c>
      <c r="D141" s="654"/>
      <c r="E141" s="654"/>
      <c r="F141" s="654">
        <v>0</v>
      </c>
      <c r="G141" s="654">
        <v>0</v>
      </c>
      <c r="H141" s="651">
        <v>3</v>
      </c>
      <c r="I141" s="654">
        <v>0</v>
      </c>
      <c r="J141" s="654">
        <v>0</v>
      </c>
      <c r="K141" s="651">
        <v>3</v>
      </c>
      <c r="L141" s="654">
        <v>0</v>
      </c>
      <c r="M141" s="654">
        <v>0</v>
      </c>
      <c r="N141" s="651">
        <v>3</v>
      </c>
      <c r="O141" s="654">
        <v>0</v>
      </c>
      <c r="P141" s="654">
        <v>0</v>
      </c>
      <c r="Q141" s="651">
        <v>6</v>
      </c>
      <c r="R141" s="654">
        <v>0</v>
      </c>
      <c r="S141" s="654">
        <v>0</v>
      </c>
      <c r="T141" s="654">
        <v>0</v>
      </c>
      <c r="U141" s="654">
        <v>0</v>
      </c>
      <c r="V141" s="651">
        <v>3</v>
      </c>
      <c r="W141" s="654">
        <v>0</v>
      </c>
      <c r="X141" s="654">
        <v>0</v>
      </c>
      <c r="Y141" s="654">
        <v>0</v>
      </c>
      <c r="Z141" s="654">
        <v>0</v>
      </c>
      <c r="AA141" s="651">
        <v>3</v>
      </c>
      <c r="AB141" s="654">
        <v>0</v>
      </c>
      <c r="AC141" s="654">
        <v>0</v>
      </c>
      <c r="AD141" s="654">
        <v>0</v>
      </c>
      <c r="AE141" s="654">
        <v>0</v>
      </c>
      <c r="AF141" s="651">
        <v>3</v>
      </c>
      <c r="AG141" s="654">
        <v>0</v>
      </c>
      <c r="AH141" s="654">
        <v>0</v>
      </c>
      <c r="AI141" s="651">
        <v>8</v>
      </c>
      <c r="AJ141" s="654">
        <v>0</v>
      </c>
      <c r="AK141" s="654">
        <v>0</v>
      </c>
      <c r="AL141" s="651">
        <v>3</v>
      </c>
      <c r="AM141" s="654">
        <v>0</v>
      </c>
      <c r="AN141" s="654">
        <v>0</v>
      </c>
      <c r="AO141" s="651">
        <v>2</v>
      </c>
      <c r="AP141" s="654">
        <v>0</v>
      </c>
      <c r="AQ141" s="654">
        <v>0</v>
      </c>
      <c r="AR141" s="651">
        <v>2</v>
      </c>
      <c r="AS141" s="654">
        <v>0</v>
      </c>
      <c r="AT141" s="654">
        <v>0</v>
      </c>
      <c r="AU141" s="650">
        <v>2</v>
      </c>
      <c r="AV141" s="654">
        <v>0</v>
      </c>
      <c r="AW141" s="654">
        <v>0</v>
      </c>
      <c r="AX141" s="650">
        <v>3</v>
      </c>
      <c r="AY141" s="654">
        <v>0</v>
      </c>
      <c r="AZ141" s="654">
        <v>0</v>
      </c>
      <c r="BA141" s="650">
        <v>3</v>
      </c>
      <c r="BB141" s="654">
        <v>0</v>
      </c>
      <c r="BC141" s="654">
        <v>0</v>
      </c>
      <c r="BD141" s="650">
        <v>3</v>
      </c>
      <c r="BE141" s="654">
        <v>0</v>
      </c>
      <c r="BF141" s="654">
        <v>0</v>
      </c>
      <c r="BG141" s="650">
        <v>4</v>
      </c>
      <c r="BH141" s="654">
        <v>0</v>
      </c>
      <c r="BI141" s="654">
        <v>0</v>
      </c>
      <c r="BJ141" s="654">
        <v>0</v>
      </c>
      <c r="BK141" s="650">
        <v>7</v>
      </c>
      <c r="BL141" s="654">
        <v>0</v>
      </c>
      <c r="BM141" s="654">
        <v>0</v>
      </c>
      <c r="BN141" s="654">
        <v>0</v>
      </c>
      <c r="BO141" s="650">
        <v>7</v>
      </c>
      <c r="BP141" s="654">
        <v>0</v>
      </c>
      <c r="BQ141" s="654">
        <v>0</v>
      </c>
      <c r="BR141" s="650">
        <v>10</v>
      </c>
      <c r="BS141" s="654">
        <v>0</v>
      </c>
      <c r="BT141" s="654">
        <v>0</v>
      </c>
      <c r="BU141" s="650">
        <v>2</v>
      </c>
      <c r="BV141" s="654">
        <v>0</v>
      </c>
      <c r="BW141" s="654">
        <v>0</v>
      </c>
      <c r="BX141" s="650">
        <v>1</v>
      </c>
      <c r="BY141" s="654">
        <v>0</v>
      </c>
      <c r="BZ141" s="654">
        <v>0</v>
      </c>
      <c r="CA141" s="650">
        <v>10</v>
      </c>
      <c r="CB141" s="654">
        <v>0</v>
      </c>
      <c r="CC141" s="654">
        <v>0</v>
      </c>
      <c r="CD141" s="650">
        <v>5</v>
      </c>
      <c r="CE141" s="654">
        <v>0</v>
      </c>
      <c r="CF141" s="654">
        <v>0</v>
      </c>
      <c r="CG141" s="650">
        <v>2</v>
      </c>
      <c r="CH141" s="697"/>
      <c r="CI141" s="697"/>
      <c r="CJ141" s="697">
        <v>1</v>
      </c>
      <c r="CK141" s="697"/>
      <c r="CL141" s="697"/>
      <c r="CM141" s="697">
        <v>1</v>
      </c>
      <c r="CO141" s="656">
        <f t="array" ref="CO141">SUM($F141:$CG141*$F$11:$CG$11)</f>
        <v>49</v>
      </c>
      <c r="CP141" s="657"/>
      <c r="DS141" s="658"/>
      <c r="DT141" s="658"/>
      <c r="DU141" s="658"/>
      <c r="DV141" s="658"/>
      <c r="DW141" s="658"/>
      <c r="DX141" s="658"/>
      <c r="DY141" s="658"/>
      <c r="DZ141" s="658"/>
      <c r="EC141" s="658"/>
    </row>
    <row r="142" spans="1:133" s="64" customFormat="1" ht="14.25" hidden="1" customHeight="1" x14ac:dyDescent="0.2">
      <c r="A142" s="58" t="s">
        <v>39</v>
      </c>
      <c r="B142" s="58" t="s">
        <v>176</v>
      </c>
      <c r="C142" s="58"/>
      <c r="D142" s="58"/>
      <c r="E142" s="58"/>
      <c r="F142" s="62">
        <f t="shared" ref="F142:AW142" si="170">F140*F141/100*F$11</f>
        <v>0</v>
      </c>
      <c r="G142" s="62">
        <f t="shared" si="170"/>
        <v>0</v>
      </c>
      <c r="H142" s="62">
        <f t="shared" si="170"/>
        <v>0</v>
      </c>
      <c r="I142" s="62">
        <f t="shared" si="170"/>
        <v>0</v>
      </c>
      <c r="J142" s="62">
        <f t="shared" si="170"/>
        <v>0</v>
      </c>
      <c r="K142" s="62">
        <f t="shared" si="170"/>
        <v>0</v>
      </c>
      <c r="L142" s="62">
        <f t="shared" si="170"/>
        <v>0</v>
      </c>
      <c r="M142" s="62">
        <f t="shared" si="170"/>
        <v>0</v>
      </c>
      <c r="N142" s="62">
        <f t="shared" si="170"/>
        <v>0</v>
      </c>
      <c r="O142" s="62">
        <f t="shared" si="170"/>
        <v>0</v>
      </c>
      <c r="P142" s="62">
        <f t="shared" si="170"/>
        <v>0</v>
      </c>
      <c r="Q142" s="62">
        <f t="shared" si="170"/>
        <v>0</v>
      </c>
      <c r="R142" s="62">
        <f t="shared" si="170"/>
        <v>0</v>
      </c>
      <c r="S142" s="62">
        <f t="shared" si="170"/>
        <v>0</v>
      </c>
      <c r="T142" s="62">
        <f t="shared" si="170"/>
        <v>0</v>
      </c>
      <c r="U142" s="62">
        <f t="shared" si="170"/>
        <v>0</v>
      </c>
      <c r="V142" s="62">
        <f t="shared" si="170"/>
        <v>0</v>
      </c>
      <c r="W142" s="62">
        <f t="shared" si="170"/>
        <v>0</v>
      </c>
      <c r="X142" s="62">
        <f t="shared" si="170"/>
        <v>0</v>
      </c>
      <c r="Y142" s="62">
        <f t="shared" si="170"/>
        <v>0</v>
      </c>
      <c r="Z142" s="62">
        <f t="shared" si="170"/>
        <v>0</v>
      </c>
      <c r="AA142" s="62">
        <f t="shared" si="170"/>
        <v>0</v>
      </c>
      <c r="AB142" s="62">
        <f t="shared" si="170"/>
        <v>0</v>
      </c>
      <c r="AC142" s="62">
        <f t="shared" si="170"/>
        <v>0</v>
      </c>
      <c r="AD142" s="62">
        <f t="shared" si="170"/>
        <v>0</v>
      </c>
      <c r="AE142" s="62">
        <f t="shared" si="170"/>
        <v>0</v>
      </c>
      <c r="AF142" s="62">
        <f t="shared" si="170"/>
        <v>0</v>
      </c>
      <c r="AG142" s="62">
        <f t="shared" si="170"/>
        <v>0</v>
      </c>
      <c r="AH142" s="62">
        <f t="shared" si="170"/>
        <v>0</v>
      </c>
      <c r="AI142" s="62">
        <f t="shared" si="170"/>
        <v>4</v>
      </c>
      <c r="AJ142" s="62">
        <f t="shared" si="170"/>
        <v>0</v>
      </c>
      <c r="AK142" s="62">
        <f t="shared" si="170"/>
        <v>0</v>
      </c>
      <c r="AL142" s="62">
        <f t="shared" si="170"/>
        <v>0</v>
      </c>
      <c r="AM142" s="62">
        <f t="shared" si="170"/>
        <v>0</v>
      </c>
      <c r="AN142" s="62">
        <f t="shared" si="170"/>
        <v>0</v>
      </c>
      <c r="AO142" s="62">
        <f t="shared" si="170"/>
        <v>0</v>
      </c>
      <c r="AP142" s="62">
        <f t="shared" si="170"/>
        <v>0</v>
      </c>
      <c r="AQ142" s="62">
        <f t="shared" si="170"/>
        <v>0</v>
      </c>
      <c r="AR142" s="62">
        <f t="shared" si="170"/>
        <v>0</v>
      </c>
      <c r="AS142" s="62">
        <f t="shared" si="170"/>
        <v>0</v>
      </c>
      <c r="AT142" s="62">
        <f t="shared" si="170"/>
        <v>0</v>
      </c>
      <c r="AU142" s="62">
        <f t="shared" si="170"/>
        <v>0</v>
      </c>
      <c r="AV142" s="62">
        <f t="shared" si="170"/>
        <v>0</v>
      </c>
      <c r="AW142" s="62">
        <f t="shared" si="170"/>
        <v>0</v>
      </c>
      <c r="AX142" s="62">
        <f>AX140*AX141/100*AX$11</f>
        <v>0</v>
      </c>
      <c r="AY142" s="62">
        <f>AY140*AY141/100*AY$11</f>
        <v>0</v>
      </c>
      <c r="AZ142" s="62">
        <f>AZ140*AZ141/100*AZ$11</f>
        <v>0</v>
      </c>
      <c r="BA142" s="62">
        <f>BA140*BA141/100*BA$11</f>
        <v>0</v>
      </c>
      <c r="BB142" s="62">
        <f t="shared" ref="BB142:BQ142" si="171">BB140*BB141/100*BB$11</f>
        <v>0</v>
      </c>
      <c r="BC142" s="62">
        <f t="shared" si="171"/>
        <v>0</v>
      </c>
      <c r="BD142" s="62">
        <f t="shared" si="171"/>
        <v>0</v>
      </c>
      <c r="BE142" s="62">
        <f t="shared" si="171"/>
        <v>0</v>
      </c>
      <c r="BF142" s="62">
        <f t="shared" si="171"/>
        <v>0</v>
      </c>
      <c r="BG142" s="62">
        <f t="shared" si="171"/>
        <v>0</v>
      </c>
      <c r="BH142" s="62">
        <f t="shared" si="171"/>
        <v>0</v>
      </c>
      <c r="BI142" s="62">
        <f t="shared" si="171"/>
        <v>0</v>
      </c>
      <c r="BJ142" s="62">
        <f t="shared" si="171"/>
        <v>0</v>
      </c>
      <c r="BK142" s="62">
        <f t="shared" si="171"/>
        <v>1.26</v>
      </c>
      <c r="BL142" s="62">
        <f t="shared" si="171"/>
        <v>0</v>
      </c>
      <c r="BM142" s="62">
        <f t="shared" si="171"/>
        <v>0</v>
      </c>
      <c r="BN142" s="62">
        <f t="shared" si="171"/>
        <v>0</v>
      </c>
      <c r="BO142" s="62">
        <f t="shared" ref="BO142" si="172">BO140*BO141/100*BO$11</f>
        <v>1.26</v>
      </c>
      <c r="BP142" s="62">
        <f t="shared" si="171"/>
        <v>0</v>
      </c>
      <c r="BQ142" s="62">
        <f t="shared" si="171"/>
        <v>0</v>
      </c>
      <c r="BR142" s="62">
        <f t="shared" ref="BR142:BZ142" si="173">BR140*BR141/100*BR$11</f>
        <v>2.2999999999999998</v>
      </c>
      <c r="BS142" s="62">
        <f t="shared" si="173"/>
        <v>0</v>
      </c>
      <c r="BT142" s="62">
        <f t="shared" si="173"/>
        <v>0</v>
      </c>
      <c r="BU142" s="62">
        <f t="shared" si="173"/>
        <v>0</v>
      </c>
      <c r="BV142" s="62">
        <f t="shared" si="173"/>
        <v>0</v>
      </c>
      <c r="BW142" s="62">
        <f t="shared" si="173"/>
        <v>0</v>
      </c>
      <c r="BX142" s="62">
        <f t="shared" si="173"/>
        <v>0</v>
      </c>
      <c r="BY142" s="62">
        <f t="shared" si="173"/>
        <v>0</v>
      </c>
      <c r="BZ142" s="62">
        <f t="shared" si="173"/>
        <v>0</v>
      </c>
      <c r="CA142" s="62">
        <f t="shared" ref="CA142" si="174">CA140*CA141/100*CA$11</f>
        <v>2.2999999999999998</v>
      </c>
      <c r="CB142" s="62">
        <f t="shared" ref="CB142:CM142" si="175">CB140*CB141/100*CB$11</f>
        <v>0</v>
      </c>
      <c r="CC142" s="62">
        <f t="shared" si="175"/>
        <v>0</v>
      </c>
      <c r="CD142" s="62">
        <f t="shared" si="175"/>
        <v>0.45</v>
      </c>
      <c r="CE142" s="62">
        <f t="shared" si="175"/>
        <v>0</v>
      </c>
      <c r="CF142" s="62">
        <f t="shared" si="175"/>
        <v>0</v>
      </c>
      <c r="CG142" s="62">
        <f t="shared" si="175"/>
        <v>0.18</v>
      </c>
      <c r="CH142" s="62">
        <f t="shared" si="175"/>
        <v>0</v>
      </c>
      <c r="CI142" s="62">
        <f t="shared" si="175"/>
        <v>0</v>
      </c>
      <c r="CJ142" s="62">
        <f t="shared" si="175"/>
        <v>0</v>
      </c>
      <c r="CK142" s="62">
        <f t="shared" si="175"/>
        <v>0</v>
      </c>
      <c r="CL142" s="62">
        <f t="shared" si="175"/>
        <v>0</v>
      </c>
      <c r="CM142" s="62">
        <f t="shared" si="175"/>
        <v>0</v>
      </c>
      <c r="CO142" s="648">
        <f t="array" ref="CO142">SUM($F142:$CG142*$F$11:$CG$11)</f>
        <v>11.75</v>
      </c>
      <c r="CP142" s="649"/>
      <c r="DS142" s="644"/>
      <c r="DT142" s="644"/>
      <c r="DU142" s="644"/>
      <c r="DV142" s="644"/>
      <c r="DW142" s="644"/>
      <c r="DX142" s="644"/>
      <c r="DY142" s="644"/>
      <c r="DZ142" s="644"/>
      <c r="EC142" s="644"/>
    </row>
    <row r="143" spans="1:133" ht="14.25" hidden="1" customHeight="1" x14ac:dyDescent="0.2">
      <c r="A143" s="67" t="s">
        <v>8</v>
      </c>
      <c r="B143" s="67" t="s">
        <v>176</v>
      </c>
      <c r="C143" s="67" t="s">
        <v>41</v>
      </c>
      <c r="D143" s="67"/>
      <c r="E143" s="67"/>
      <c r="F143" s="1731"/>
      <c r="G143" s="1731"/>
      <c r="H143" s="69">
        <v>1</v>
      </c>
      <c r="I143" s="1731"/>
      <c r="J143" s="1731"/>
      <c r="K143" s="69">
        <v>1</v>
      </c>
      <c r="L143" s="1731"/>
      <c r="M143" s="1731"/>
      <c r="N143" s="69">
        <v>1</v>
      </c>
      <c r="O143" s="1731"/>
      <c r="P143" s="1731"/>
      <c r="Q143" s="69">
        <v>1</v>
      </c>
      <c r="R143" s="1731"/>
      <c r="S143" s="1731"/>
      <c r="T143" s="1731"/>
      <c r="U143" s="1731"/>
      <c r="V143" s="69">
        <v>1</v>
      </c>
      <c r="W143" s="1731"/>
      <c r="X143" s="1731"/>
      <c r="Y143" s="1731"/>
      <c r="Z143" s="1731"/>
      <c r="AA143" s="69">
        <v>1</v>
      </c>
      <c r="AB143" s="1731"/>
      <c r="AC143" s="1731"/>
      <c r="AD143" s="1731"/>
      <c r="AE143" s="1731"/>
      <c r="AF143" s="69">
        <v>1</v>
      </c>
      <c r="AG143" s="1731"/>
      <c r="AH143" s="1731"/>
      <c r="AI143" s="69">
        <v>1</v>
      </c>
      <c r="AJ143" s="1731"/>
      <c r="AK143" s="1731"/>
      <c r="AL143" s="69">
        <v>1</v>
      </c>
      <c r="AM143" s="1731"/>
      <c r="AN143" s="1731"/>
      <c r="AO143" s="1731">
        <v>1</v>
      </c>
      <c r="AP143" s="1731"/>
      <c r="AQ143" s="1731"/>
      <c r="AR143" s="69">
        <v>1</v>
      </c>
      <c r="AS143" s="60"/>
      <c r="AT143" s="60"/>
      <c r="AU143" s="67">
        <v>1</v>
      </c>
      <c r="AV143" s="60"/>
      <c r="AW143" s="60"/>
      <c r="AX143" s="67">
        <v>1</v>
      </c>
      <c r="AY143" s="60"/>
      <c r="AZ143" s="60"/>
      <c r="BA143" s="67">
        <v>1</v>
      </c>
      <c r="BB143" s="60"/>
      <c r="BC143" s="60"/>
      <c r="BD143" s="67">
        <v>1</v>
      </c>
      <c r="BE143" s="60"/>
      <c r="BF143" s="60"/>
      <c r="BG143" s="67">
        <v>1</v>
      </c>
      <c r="BH143" s="60"/>
      <c r="BI143" s="60"/>
      <c r="BJ143" s="60"/>
      <c r="BK143" s="67">
        <v>1</v>
      </c>
      <c r="BL143" s="60"/>
      <c r="BM143" s="60"/>
      <c r="BN143" s="60"/>
      <c r="BO143" s="67">
        <v>1</v>
      </c>
      <c r="BP143" s="62"/>
      <c r="BQ143" s="62"/>
      <c r="BR143" s="67">
        <v>1</v>
      </c>
      <c r="BS143" s="62"/>
      <c r="BT143" s="62"/>
      <c r="BU143" s="67">
        <v>1</v>
      </c>
      <c r="BV143" s="62"/>
      <c r="BW143" s="62"/>
      <c r="BX143" s="67">
        <v>1</v>
      </c>
      <c r="BY143" s="62"/>
      <c r="BZ143" s="62"/>
      <c r="CA143" s="67">
        <v>1</v>
      </c>
      <c r="CB143" s="62"/>
      <c r="CC143" s="62"/>
      <c r="CD143" s="67">
        <v>1</v>
      </c>
      <c r="CE143" s="62"/>
      <c r="CF143" s="62"/>
      <c r="CG143" s="67">
        <v>1</v>
      </c>
      <c r="CH143" s="67"/>
      <c r="CI143" s="67"/>
      <c r="CJ143" s="67">
        <v>1</v>
      </c>
      <c r="CK143" s="67"/>
      <c r="CL143" s="67"/>
      <c r="CM143" s="67">
        <v>1</v>
      </c>
      <c r="CO143" s="142"/>
    </row>
    <row r="144" spans="1:133" ht="14.25" hidden="1" customHeight="1" x14ac:dyDescent="0.2">
      <c r="BF144" s="604"/>
      <c r="CO144" s="129"/>
    </row>
    <row r="145" spans="1:133" ht="14.25" hidden="1" customHeight="1" x14ac:dyDescent="0.2">
      <c r="BF145" s="604"/>
      <c r="CO145" s="129"/>
    </row>
    <row r="146" spans="1:133" ht="14.25" customHeight="1" x14ac:dyDescent="0.2">
      <c r="BF146" s="604"/>
      <c r="CO146" s="129"/>
    </row>
    <row r="147" spans="1:133" ht="14.25" customHeight="1" x14ac:dyDescent="0.2">
      <c r="BF147" s="604"/>
      <c r="CO147" s="129"/>
    </row>
    <row r="148" spans="1:133" ht="14.25" hidden="1" customHeight="1" x14ac:dyDescent="0.2">
      <c r="A148" s="31" t="s">
        <v>57</v>
      </c>
      <c r="BF148" s="604"/>
      <c r="CO148" s="129"/>
    </row>
    <row r="149" spans="1:133" ht="14.25" hidden="1" customHeight="1" x14ac:dyDescent="0.2">
      <c r="A149" s="58" t="s">
        <v>13</v>
      </c>
      <c r="B149" s="58" t="s">
        <v>35</v>
      </c>
      <c r="C149" s="58" t="s">
        <v>5</v>
      </c>
      <c r="D149" s="58"/>
      <c r="E149" s="58"/>
      <c r="F149" s="62">
        <v>25</v>
      </c>
      <c r="G149" s="62">
        <v>25</v>
      </c>
      <c r="H149" s="62">
        <v>25</v>
      </c>
      <c r="I149" s="62">
        <v>25</v>
      </c>
      <c r="J149" s="62">
        <v>25</v>
      </c>
      <c r="K149" s="62">
        <v>25</v>
      </c>
      <c r="L149" s="62">
        <v>25</v>
      </c>
      <c r="M149" s="62">
        <v>25</v>
      </c>
      <c r="N149" s="62">
        <v>25</v>
      </c>
      <c r="O149" s="62">
        <v>25</v>
      </c>
      <c r="P149" s="62">
        <v>25</v>
      </c>
      <c r="Q149" s="62">
        <v>25</v>
      </c>
      <c r="R149" s="62">
        <v>25</v>
      </c>
      <c r="S149" s="62"/>
      <c r="T149" s="62">
        <v>25</v>
      </c>
      <c r="U149" s="62"/>
      <c r="V149" s="62">
        <v>25</v>
      </c>
      <c r="W149" s="62">
        <v>25</v>
      </c>
      <c r="X149" s="62"/>
      <c r="Y149" s="62"/>
      <c r="Z149" s="62">
        <v>25</v>
      </c>
      <c r="AA149" s="62">
        <v>25</v>
      </c>
      <c r="AB149" s="62">
        <v>25</v>
      </c>
      <c r="AC149" s="62"/>
      <c r="AD149" s="62"/>
      <c r="AE149" s="62">
        <v>25</v>
      </c>
      <c r="AF149" s="62">
        <v>25</v>
      </c>
      <c r="AG149" s="62">
        <v>25</v>
      </c>
      <c r="AH149" s="62">
        <v>25</v>
      </c>
      <c r="AI149" s="62">
        <v>25</v>
      </c>
      <c r="AJ149" s="62">
        <v>25</v>
      </c>
      <c r="AK149" s="62">
        <v>25</v>
      </c>
      <c r="AL149" s="62">
        <v>25</v>
      </c>
      <c r="AM149" s="62"/>
      <c r="AN149" s="62"/>
      <c r="AO149" s="62"/>
      <c r="AP149" s="62">
        <v>25</v>
      </c>
      <c r="AQ149" s="62">
        <v>25</v>
      </c>
      <c r="AR149" s="62">
        <v>25</v>
      </c>
      <c r="AS149" s="58">
        <v>17</v>
      </c>
      <c r="AT149" s="58">
        <v>17</v>
      </c>
      <c r="AU149" s="58">
        <v>17</v>
      </c>
      <c r="AV149" s="58"/>
      <c r="AW149" s="58"/>
      <c r="AX149" s="58"/>
      <c r="AY149" s="58">
        <v>17</v>
      </c>
      <c r="AZ149" s="58">
        <v>17</v>
      </c>
      <c r="BA149" s="58">
        <v>17</v>
      </c>
      <c r="BB149" s="58">
        <v>3</v>
      </c>
      <c r="BC149" s="58">
        <v>3</v>
      </c>
      <c r="BD149" s="58">
        <v>3</v>
      </c>
      <c r="BE149" s="58">
        <v>3</v>
      </c>
      <c r="BF149" s="58">
        <v>3</v>
      </c>
      <c r="BG149" s="58">
        <v>3</v>
      </c>
      <c r="BH149" s="58">
        <v>10</v>
      </c>
      <c r="BI149" s="58">
        <v>10</v>
      </c>
      <c r="BJ149" s="58"/>
      <c r="BK149" s="58">
        <v>10</v>
      </c>
      <c r="BL149" s="58">
        <v>10</v>
      </c>
      <c r="BM149" s="58">
        <v>10</v>
      </c>
      <c r="BN149" s="58"/>
      <c r="BO149" s="58">
        <v>10</v>
      </c>
      <c r="BP149" s="58"/>
      <c r="BQ149" s="58"/>
      <c r="BR149" s="58"/>
      <c r="BS149" s="58"/>
      <c r="BT149" s="58"/>
      <c r="BU149" s="58"/>
      <c r="BV149" s="58"/>
      <c r="BW149" s="58"/>
      <c r="BX149" s="58"/>
      <c r="BY149" s="756"/>
      <c r="BZ149" s="756"/>
      <c r="CA149" s="756"/>
      <c r="CB149" s="58">
        <v>20</v>
      </c>
      <c r="CC149" s="58">
        <v>20</v>
      </c>
      <c r="CD149" s="58">
        <v>20</v>
      </c>
      <c r="CE149" s="58"/>
      <c r="CF149" s="58"/>
      <c r="CG149" s="58"/>
      <c r="CH149" s="644"/>
      <c r="CI149" s="644"/>
      <c r="CJ149" s="644"/>
      <c r="CK149" s="644"/>
      <c r="CL149" s="644"/>
      <c r="CM149" s="644"/>
      <c r="CO149" s="142"/>
    </row>
    <row r="150" spans="1:133" ht="14.25" hidden="1" customHeight="1" x14ac:dyDescent="0.2">
      <c r="A150" s="58" t="s">
        <v>14</v>
      </c>
      <c r="B150" s="58" t="s">
        <v>35</v>
      </c>
      <c r="C150" s="58" t="s">
        <v>41</v>
      </c>
      <c r="D150" s="58"/>
      <c r="E150" s="58"/>
      <c r="F150" s="65">
        <v>15</v>
      </c>
      <c r="G150" s="65">
        <v>15</v>
      </c>
      <c r="H150" s="65">
        <v>15</v>
      </c>
      <c r="I150" s="65">
        <v>15</v>
      </c>
      <c r="J150" s="65">
        <v>15</v>
      </c>
      <c r="K150" s="65">
        <v>15</v>
      </c>
      <c r="L150" s="65">
        <v>15</v>
      </c>
      <c r="M150" s="65">
        <v>15</v>
      </c>
      <c r="N150" s="65">
        <v>15</v>
      </c>
      <c r="O150" s="65">
        <v>15</v>
      </c>
      <c r="P150" s="65">
        <v>15</v>
      </c>
      <c r="Q150" s="65">
        <v>15</v>
      </c>
      <c r="R150" s="65">
        <v>15</v>
      </c>
      <c r="S150" s="65"/>
      <c r="T150" s="65">
        <v>15</v>
      </c>
      <c r="U150" s="65"/>
      <c r="V150" s="65">
        <v>15</v>
      </c>
      <c r="W150" s="65">
        <v>15</v>
      </c>
      <c r="X150" s="65"/>
      <c r="Y150" s="65"/>
      <c r="Z150" s="65">
        <v>15</v>
      </c>
      <c r="AA150" s="65">
        <v>15</v>
      </c>
      <c r="AB150" s="65">
        <v>15</v>
      </c>
      <c r="AC150" s="65"/>
      <c r="AD150" s="65"/>
      <c r="AE150" s="65">
        <v>15</v>
      </c>
      <c r="AF150" s="65">
        <v>15</v>
      </c>
      <c r="AG150" s="65">
        <v>15</v>
      </c>
      <c r="AH150" s="65">
        <v>15</v>
      </c>
      <c r="AI150" s="65">
        <v>15</v>
      </c>
      <c r="AJ150" s="65">
        <v>15</v>
      </c>
      <c r="AK150" s="65">
        <v>15</v>
      </c>
      <c r="AL150" s="65">
        <v>15</v>
      </c>
      <c r="AM150" s="65"/>
      <c r="AN150" s="65"/>
      <c r="AO150" s="65"/>
      <c r="AP150" s="65">
        <v>10</v>
      </c>
      <c r="AQ150" s="65">
        <v>10</v>
      </c>
      <c r="AR150" s="65">
        <v>10</v>
      </c>
      <c r="AS150" s="58">
        <v>50</v>
      </c>
      <c r="AT150" s="58">
        <v>50</v>
      </c>
      <c r="AU150" s="58">
        <v>50</v>
      </c>
      <c r="AV150" s="58"/>
      <c r="AW150" s="58"/>
      <c r="AX150" s="58"/>
      <c r="AY150" s="58">
        <v>50</v>
      </c>
      <c r="AZ150" s="58">
        <v>50</v>
      </c>
      <c r="BA150" s="58">
        <v>50</v>
      </c>
      <c r="BB150" s="58">
        <v>25</v>
      </c>
      <c r="BC150" s="58">
        <v>25</v>
      </c>
      <c r="BD150" s="58">
        <v>25</v>
      </c>
      <c r="BE150" s="58">
        <v>25</v>
      </c>
      <c r="BF150" s="58">
        <v>25</v>
      </c>
      <c r="BG150" s="58">
        <v>25</v>
      </c>
      <c r="BH150" s="58">
        <v>100</v>
      </c>
      <c r="BI150" s="58">
        <v>100</v>
      </c>
      <c r="BJ150" s="58"/>
      <c r="BK150" s="58">
        <v>100</v>
      </c>
      <c r="BL150" s="58">
        <v>100</v>
      </c>
      <c r="BM150" s="58">
        <v>100</v>
      </c>
      <c r="BN150" s="58"/>
      <c r="BO150" s="58">
        <v>100</v>
      </c>
      <c r="BP150" s="58"/>
      <c r="BQ150" s="58"/>
      <c r="BR150" s="58"/>
      <c r="BS150" s="58"/>
      <c r="BT150" s="58"/>
      <c r="BU150" s="58"/>
      <c r="BV150" s="58"/>
      <c r="BW150" s="58"/>
      <c r="BX150" s="58"/>
      <c r="BY150" s="756"/>
      <c r="BZ150" s="756"/>
      <c r="CA150" s="756"/>
      <c r="CB150" s="58">
        <v>35</v>
      </c>
      <c r="CC150" s="58">
        <v>35</v>
      </c>
      <c r="CD150" s="58">
        <v>35</v>
      </c>
      <c r="CE150" s="58"/>
      <c r="CF150" s="58"/>
      <c r="CG150" s="58"/>
      <c r="CH150" s="644"/>
      <c r="CI150" s="644"/>
      <c r="CJ150" s="644"/>
      <c r="CK150" s="644"/>
      <c r="CL150" s="644"/>
      <c r="CM150" s="644"/>
      <c r="CO150" s="142"/>
    </row>
    <row r="151" spans="1:133" ht="14.25" hidden="1" customHeight="1" x14ac:dyDescent="0.2">
      <c r="A151" s="130" t="s">
        <v>14</v>
      </c>
      <c r="B151" s="130" t="s">
        <v>35</v>
      </c>
      <c r="C151" s="130" t="s">
        <v>5</v>
      </c>
      <c r="D151" s="130"/>
      <c r="E151" s="130"/>
      <c r="F151" s="65">
        <v>4</v>
      </c>
      <c r="G151" s="65">
        <v>4</v>
      </c>
      <c r="H151" s="164">
        <v>4</v>
      </c>
      <c r="I151" s="65">
        <v>4</v>
      </c>
      <c r="J151" s="65">
        <v>4</v>
      </c>
      <c r="K151" s="73">
        <v>4</v>
      </c>
      <c r="L151" s="65">
        <v>4</v>
      </c>
      <c r="M151" s="65">
        <v>4</v>
      </c>
      <c r="N151" s="73">
        <v>4</v>
      </c>
      <c r="O151" s="65">
        <v>4</v>
      </c>
      <c r="P151" s="65">
        <v>4</v>
      </c>
      <c r="Q151" s="73">
        <v>4</v>
      </c>
      <c r="R151" s="65">
        <v>4</v>
      </c>
      <c r="S151" s="65"/>
      <c r="T151" s="65">
        <v>4</v>
      </c>
      <c r="U151" s="65"/>
      <c r="V151" s="73">
        <v>4</v>
      </c>
      <c r="W151" s="65">
        <v>4</v>
      </c>
      <c r="X151" s="65"/>
      <c r="Y151" s="65"/>
      <c r="Z151" s="65">
        <v>4</v>
      </c>
      <c r="AA151" s="73">
        <v>4</v>
      </c>
      <c r="AB151" s="65">
        <v>4</v>
      </c>
      <c r="AC151" s="65"/>
      <c r="AD151" s="65"/>
      <c r="AE151" s="65">
        <v>4</v>
      </c>
      <c r="AF151" s="73">
        <v>4</v>
      </c>
      <c r="AG151" s="65">
        <v>4</v>
      </c>
      <c r="AH151" s="65">
        <v>4</v>
      </c>
      <c r="AI151" s="73">
        <v>4</v>
      </c>
      <c r="AJ151" s="65">
        <v>4</v>
      </c>
      <c r="AK151" s="65">
        <v>4</v>
      </c>
      <c r="AL151" s="73">
        <v>4</v>
      </c>
      <c r="AM151" s="73"/>
      <c r="AN151" s="73"/>
      <c r="AO151" s="73"/>
      <c r="AP151" s="65">
        <v>3</v>
      </c>
      <c r="AQ151" s="65">
        <v>3</v>
      </c>
      <c r="AR151" s="73">
        <v>2</v>
      </c>
      <c r="AS151" s="58">
        <v>9</v>
      </c>
      <c r="AT151" s="58">
        <v>9</v>
      </c>
      <c r="AU151" s="74">
        <v>8</v>
      </c>
      <c r="AV151" s="74"/>
      <c r="AW151" s="74"/>
      <c r="AX151" s="74"/>
      <c r="AY151" s="58">
        <v>0</v>
      </c>
      <c r="AZ151" s="58">
        <v>0</v>
      </c>
      <c r="BA151" s="74">
        <v>0</v>
      </c>
      <c r="BB151" s="58">
        <v>0</v>
      </c>
      <c r="BC151" s="58">
        <v>0</v>
      </c>
      <c r="BD151" s="74">
        <v>0</v>
      </c>
      <c r="BE151" s="58">
        <f>3/5</f>
        <v>0.6</v>
      </c>
      <c r="BF151" s="58">
        <f>3/5</f>
        <v>0.6</v>
      </c>
      <c r="BG151" s="74">
        <f>3/5</f>
        <v>0.6</v>
      </c>
      <c r="BH151" s="58">
        <v>10</v>
      </c>
      <c r="BI151" s="58">
        <v>10</v>
      </c>
      <c r="BJ151" s="58"/>
      <c r="BK151" s="74">
        <v>10</v>
      </c>
      <c r="BL151" s="58">
        <v>10</v>
      </c>
      <c r="BM151" s="58">
        <v>10</v>
      </c>
      <c r="BN151" s="58"/>
      <c r="BO151" s="74">
        <v>10</v>
      </c>
      <c r="BP151" s="74"/>
      <c r="BQ151" s="74"/>
      <c r="BR151" s="74"/>
      <c r="BS151" s="74"/>
      <c r="BT151" s="74"/>
      <c r="BU151" s="74"/>
      <c r="BV151" s="74"/>
      <c r="BW151" s="74"/>
      <c r="BX151" s="74"/>
      <c r="BY151" s="757"/>
      <c r="BZ151" s="757"/>
      <c r="CA151" s="757"/>
      <c r="CB151" s="58">
        <v>7</v>
      </c>
      <c r="CC151" s="58">
        <v>7</v>
      </c>
      <c r="CD151" s="74">
        <v>7</v>
      </c>
      <c r="CE151" s="74"/>
      <c r="CF151" s="74"/>
      <c r="CG151" s="74"/>
      <c r="CH151" s="79"/>
      <c r="CI151" s="79"/>
      <c r="CJ151" s="79"/>
      <c r="CK151" s="79"/>
      <c r="CL151" s="79"/>
      <c r="CM151" s="79"/>
      <c r="CO151" s="143">
        <f t="array" ref="CO151">SUM($F151:$CG151*$F$11:$CG$11)</f>
        <v>31</v>
      </c>
    </row>
    <row r="152" spans="1:133" s="135" customFormat="1" ht="14.25" hidden="1" customHeight="1" x14ac:dyDescent="0.2">
      <c r="A152" s="121" t="s">
        <v>39</v>
      </c>
      <c r="B152" s="121" t="s">
        <v>35</v>
      </c>
      <c r="C152" s="121" t="s">
        <v>41</v>
      </c>
      <c r="D152" s="121"/>
      <c r="E152" s="121"/>
      <c r="F152" s="134">
        <f t="shared" ref="F152:Q152" si="176">F149*F150/100*F$11</f>
        <v>0</v>
      </c>
      <c r="G152" s="134">
        <f t="shared" si="176"/>
        <v>0</v>
      </c>
      <c r="H152" s="134">
        <f t="shared" si="176"/>
        <v>0</v>
      </c>
      <c r="I152" s="134">
        <f t="shared" si="176"/>
        <v>0</v>
      </c>
      <c r="J152" s="134">
        <f t="shared" si="176"/>
        <v>0</v>
      </c>
      <c r="K152" s="134">
        <f t="shared" si="176"/>
        <v>0</v>
      </c>
      <c r="L152" s="134">
        <f t="shared" si="176"/>
        <v>0</v>
      </c>
      <c r="M152" s="134">
        <f t="shared" si="176"/>
        <v>0</v>
      </c>
      <c r="N152" s="134">
        <f t="shared" si="176"/>
        <v>0</v>
      </c>
      <c r="O152" s="134">
        <f t="shared" si="176"/>
        <v>0</v>
      </c>
      <c r="P152" s="134">
        <f t="shared" si="176"/>
        <v>0</v>
      </c>
      <c r="Q152" s="134">
        <f t="shared" si="176"/>
        <v>0</v>
      </c>
      <c r="R152" s="134">
        <f t="shared" ref="R152:V152" si="177">R149*R150/100*R$11</f>
        <v>0</v>
      </c>
      <c r="S152" s="134"/>
      <c r="T152" s="134">
        <f t="shared" si="177"/>
        <v>0</v>
      </c>
      <c r="U152" s="134"/>
      <c r="V152" s="134">
        <f t="shared" si="177"/>
        <v>0</v>
      </c>
      <c r="W152" s="134">
        <f t="shared" ref="W152:AF152" si="178">W149*W150/100*W$11</f>
        <v>0</v>
      </c>
      <c r="X152" s="134"/>
      <c r="Y152" s="134"/>
      <c r="Z152" s="134">
        <f t="shared" si="178"/>
        <v>0</v>
      </c>
      <c r="AA152" s="134">
        <f t="shared" si="178"/>
        <v>0</v>
      </c>
      <c r="AB152" s="134">
        <f t="shared" si="178"/>
        <v>0</v>
      </c>
      <c r="AC152" s="134"/>
      <c r="AD152" s="134"/>
      <c r="AE152" s="134">
        <f t="shared" si="178"/>
        <v>0</v>
      </c>
      <c r="AF152" s="134">
        <f t="shared" si="178"/>
        <v>0</v>
      </c>
      <c r="AG152" s="134">
        <f t="shared" ref="AG152:AU152" si="179">AG149*AG150/100*AG$11</f>
        <v>0</v>
      </c>
      <c r="AH152" s="134">
        <f t="shared" si="179"/>
        <v>0</v>
      </c>
      <c r="AI152" s="134">
        <f t="shared" si="179"/>
        <v>3.75</v>
      </c>
      <c r="AJ152" s="134">
        <f t="shared" si="179"/>
        <v>0</v>
      </c>
      <c r="AK152" s="134">
        <f t="shared" si="179"/>
        <v>0</v>
      </c>
      <c r="AL152" s="134">
        <f t="shared" si="179"/>
        <v>0</v>
      </c>
      <c r="AM152" s="134"/>
      <c r="AN152" s="134"/>
      <c r="AO152" s="134"/>
      <c r="AP152" s="134">
        <f t="shared" si="179"/>
        <v>0</v>
      </c>
      <c r="AQ152" s="134">
        <f t="shared" si="179"/>
        <v>0</v>
      </c>
      <c r="AR152" s="134">
        <f t="shared" si="179"/>
        <v>0</v>
      </c>
      <c r="AS152" s="134">
        <f t="shared" si="179"/>
        <v>0</v>
      </c>
      <c r="AT152" s="134">
        <f t="shared" si="179"/>
        <v>0</v>
      </c>
      <c r="AU152" s="134">
        <f t="shared" si="179"/>
        <v>0</v>
      </c>
      <c r="AV152" s="134"/>
      <c r="AW152" s="134"/>
      <c r="AX152" s="134"/>
      <c r="AY152" s="134">
        <f t="shared" ref="AY152:BI152" si="180">AY149*AY150/100*AY$11</f>
        <v>0</v>
      </c>
      <c r="AZ152" s="134">
        <f t="shared" si="180"/>
        <v>0</v>
      </c>
      <c r="BA152" s="134">
        <f t="shared" si="180"/>
        <v>0</v>
      </c>
      <c r="BB152" s="134">
        <f t="shared" si="180"/>
        <v>0</v>
      </c>
      <c r="BC152" s="134">
        <f t="shared" si="180"/>
        <v>0</v>
      </c>
      <c r="BD152" s="134">
        <f t="shared" si="180"/>
        <v>0</v>
      </c>
      <c r="BE152" s="134">
        <f t="shared" si="180"/>
        <v>0</v>
      </c>
      <c r="BF152" s="134">
        <f t="shared" si="180"/>
        <v>0</v>
      </c>
      <c r="BG152" s="134">
        <f t="shared" si="180"/>
        <v>0</v>
      </c>
      <c r="BH152" s="134">
        <f t="shared" si="180"/>
        <v>0</v>
      </c>
      <c r="BI152" s="134">
        <f t="shared" si="180"/>
        <v>0</v>
      </c>
      <c r="BJ152" s="134"/>
      <c r="BK152" s="134">
        <f>BK149*BK150/100*BK$11</f>
        <v>10</v>
      </c>
      <c r="BL152" s="134">
        <f>BL149*BL150/100*BL$11</f>
        <v>0</v>
      </c>
      <c r="BM152" s="134">
        <f>BM149*BM150/100*BM$11</f>
        <v>0</v>
      </c>
      <c r="BN152" s="134"/>
      <c r="BO152" s="134">
        <f t="shared" ref="BO152" si="181">BO149*BO150/100*BO$11</f>
        <v>10</v>
      </c>
      <c r="BP152" s="134"/>
      <c r="BQ152" s="134"/>
      <c r="BR152" s="134"/>
      <c r="BS152" s="134"/>
      <c r="BT152" s="134"/>
      <c r="BU152" s="134"/>
      <c r="BV152" s="134"/>
      <c r="BW152" s="134"/>
      <c r="BX152" s="134"/>
      <c r="BY152" s="134"/>
      <c r="BZ152" s="134"/>
      <c r="CA152" s="134"/>
      <c r="CB152" s="134">
        <f>CB149*CB150/100*CB$11</f>
        <v>0</v>
      </c>
      <c r="CC152" s="134">
        <f>CC149*CC150/100*CC$11</f>
        <v>0</v>
      </c>
      <c r="CD152" s="134">
        <f>CD149*CD150/100*CD$11</f>
        <v>7</v>
      </c>
      <c r="CE152" s="134"/>
      <c r="CF152" s="134"/>
      <c r="CG152" s="134"/>
      <c r="CH152" s="698"/>
      <c r="CI152" s="698"/>
      <c r="CJ152" s="698"/>
      <c r="CK152" s="698"/>
      <c r="CL152" s="698"/>
      <c r="CM152" s="698"/>
      <c r="CO152" s="143">
        <f t="array" ref="CO152">SUM($F152:$CG152*$F$11:$CG$11)</f>
        <v>30.75</v>
      </c>
      <c r="CP152" s="151"/>
      <c r="CQ152" s="33"/>
      <c r="DR152" s="33"/>
      <c r="DS152" s="146"/>
      <c r="DT152" s="146"/>
      <c r="DU152" s="146"/>
      <c r="DV152" s="146"/>
      <c r="DW152" s="146"/>
      <c r="DX152" s="146"/>
      <c r="DY152" s="146"/>
      <c r="DZ152" s="146"/>
      <c r="EC152" s="146"/>
    </row>
    <row r="153" spans="1:133" ht="14.25" customHeight="1" x14ac:dyDescent="0.2">
      <c r="BF153" s="604"/>
    </row>
    <row r="154" spans="1:133" ht="14.25" customHeight="1" x14ac:dyDescent="0.2">
      <c r="BF154" s="604"/>
    </row>
    <row r="155" spans="1:133" ht="14.25" customHeight="1" x14ac:dyDescent="0.2">
      <c r="BF155" s="604"/>
    </row>
    <row r="156" spans="1:133" ht="14.25" customHeight="1" x14ac:dyDescent="0.2">
      <c r="BF156" s="604"/>
    </row>
    <row r="157" spans="1:133" ht="14.25" customHeight="1" x14ac:dyDescent="0.2">
      <c r="BF157" s="604"/>
    </row>
    <row r="158" spans="1:133" ht="14.25" customHeight="1" x14ac:dyDescent="0.2">
      <c r="BF158" s="604"/>
    </row>
    <row r="159" spans="1:133" x14ac:dyDescent="0.2">
      <c r="BF159" s="604"/>
    </row>
    <row r="160" spans="1:133" x14ac:dyDescent="0.2">
      <c r="BF160" s="604"/>
    </row>
    <row r="161" spans="58:58" x14ac:dyDescent="0.2">
      <c r="BF161" s="604"/>
    </row>
    <row r="162" spans="58:58" x14ac:dyDescent="0.2">
      <c r="BF162" s="604"/>
    </row>
    <row r="163" spans="58:58" x14ac:dyDescent="0.2">
      <c r="BF163" s="604"/>
    </row>
    <row r="164" spans="58:58" x14ac:dyDescent="0.2">
      <c r="BF164" s="604"/>
    </row>
    <row r="165" spans="58:58" x14ac:dyDescent="0.2">
      <c r="BF165" s="604"/>
    </row>
    <row r="166" spans="58:58" x14ac:dyDescent="0.2">
      <c r="BF166" s="604"/>
    </row>
    <row r="167" spans="58:58" x14ac:dyDescent="0.2">
      <c r="BF167" s="604"/>
    </row>
    <row r="168" spans="58:58" x14ac:dyDescent="0.2">
      <c r="BF168" s="604"/>
    </row>
    <row r="169" spans="58:58" x14ac:dyDescent="0.2">
      <c r="BF169" s="604"/>
    </row>
    <row r="170" spans="58:58" x14ac:dyDescent="0.2">
      <c r="BF170" s="604"/>
    </row>
    <row r="171" spans="58:58" x14ac:dyDescent="0.2">
      <c r="BF171" s="604"/>
    </row>
    <row r="172" spans="58:58" x14ac:dyDescent="0.2">
      <c r="BF172" s="604"/>
    </row>
    <row r="173" spans="58:58" x14ac:dyDescent="0.2">
      <c r="BF173" s="604"/>
    </row>
    <row r="174" spans="58:58" x14ac:dyDescent="0.2">
      <c r="BF174" s="604"/>
    </row>
    <row r="175" spans="58:58" x14ac:dyDescent="0.2">
      <c r="BF175" s="604"/>
    </row>
    <row r="176" spans="58:58" x14ac:dyDescent="0.2">
      <c r="BF176" s="604"/>
    </row>
    <row r="177" spans="58:58" x14ac:dyDescent="0.2">
      <c r="BF177" s="604"/>
    </row>
    <row r="178" spans="58:58" x14ac:dyDescent="0.2">
      <c r="BF178" s="604"/>
    </row>
    <row r="179" spans="58:58" x14ac:dyDescent="0.2">
      <c r="BF179" s="604"/>
    </row>
    <row r="180" spans="58:58" x14ac:dyDescent="0.2">
      <c r="BF180" s="604"/>
    </row>
    <row r="181" spans="58:58" x14ac:dyDescent="0.2">
      <c r="BF181" s="604"/>
    </row>
    <row r="182" spans="58:58" x14ac:dyDescent="0.2">
      <c r="BF182" s="604"/>
    </row>
    <row r="183" spans="58:58" x14ac:dyDescent="0.2">
      <c r="BF183" s="604"/>
    </row>
    <row r="184" spans="58:58" x14ac:dyDescent="0.2">
      <c r="BF184" s="604"/>
    </row>
    <row r="185" spans="58:58" x14ac:dyDescent="0.2">
      <c r="BF185" s="604"/>
    </row>
    <row r="186" spans="58:58" x14ac:dyDescent="0.2">
      <c r="BF186" s="604"/>
    </row>
    <row r="187" spans="58:58" x14ac:dyDescent="0.2">
      <c r="BF187" s="604"/>
    </row>
    <row r="188" spans="58:58" x14ac:dyDescent="0.2">
      <c r="BF188" s="604"/>
    </row>
    <row r="189" spans="58:58" x14ac:dyDescent="0.2">
      <c r="BF189" s="604"/>
    </row>
    <row r="190" spans="58:58" x14ac:dyDescent="0.2">
      <c r="BF190" s="604"/>
    </row>
    <row r="191" spans="58:58" x14ac:dyDescent="0.2">
      <c r="BF191" s="604"/>
    </row>
    <row r="192" spans="58:58" x14ac:dyDescent="0.2">
      <c r="BF192" s="604"/>
    </row>
    <row r="193" spans="58:58" x14ac:dyDescent="0.2">
      <c r="BF193" s="604"/>
    </row>
    <row r="194" spans="58:58" x14ac:dyDescent="0.2">
      <c r="BF194" s="604"/>
    </row>
    <row r="195" spans="58:58" x14ac:dyDescent="0.2">
      <c r="BF195" s="604"/>
    </row>
    <row r="196" spans="58:58" x14ac:dyDescent="0.2">
      <c r="BF196" s="604"/>
    </row>
    <row r="197" spans="58:58" x14ac:dyDescent="0.2">
      <c r="BF197" s="604"/>
    </row>
    <row r="198" spans="58:58" x14ac:dyDescent="0.2">
      <c r="BF198" s="604"/>
    </row>
    <row r="199" spans="58:58" x14ac:dyDescent="0.2">
      <c r="BF199" s="604"/>
    </row>
    <row r="200" spans="58:58" x14ac:dyDescent="0.2">
      <c r="BF200" s="604"/>
    </row>
    <row r="201" spans="58:58" x14ac:dyDescent="0.2">
      <c r="BF201" s="604"/>
    </row>
    <row r="202" spans="58:58" x14ac:dyDescent="0.2">
      <c r="BF202" s="604"/>
    </row>
    <row r="203" spans="58:58" x14ac:dyDescent="0.2">
      <c r="BF203" s="604"/>
    </row>
    <row r="204" spans="58:58" x14ac:dyDescent="0.2">
      <c r="BF204" s="604"/>
    </row>
    <row r="205" spans="58:58" x14ac:dyDescent="0.2">
      <c r="BF205" s="604"/>
    </row>
    <row r="206" spans="58:58" x14ac:dyDescent="0.2">
      <c r="BF206" s="604"/>
    </row>
    <row r="207" spans="58:58" x14ac:dyDescent="0.2">
      <c r="BF207" s="604"/>
    </row>
    <row r="208" spans="58:58" x14ac:dyDescent="0.2">
      <c r="BF208" s="604"/>
    </row>
    <row r="209" spans="58:58" x14ac:dyDescent="0.2">
      <c r="BF209" s="604"/>
    </row>
    <row r="210" spans="58:58" x14ac:dyDescent="0.2">
      <c r="BF210" s="604"/>
    </row>
    <row r="211" spans="58:58" x14ac:dyDescent="0.2">
      <c r="BF211" s="604"/>
    </row>
    <row r="212" spans="58:58" x14ac:dyDescent="0.2">
      <c r="BF212" s="604"/>
    </row>
    <row r="213" spans="58:58" x14ac:dyDescent="0.2">
      <c r="BF213" s="604"/>
    </row>
    <row r="214" spans="58:58" x14ac:dyDescent="0.2">
      <c r="BF214" s="604"/>
    </row>
    <row r="215" spans="58:58" x14ac:dyDescent="0.2">
      <c r="BF215" s="604"/>
    </row>
    <row r="216" spans="58:58" x14ac:dyDescent="0.2">
      <c r="BF216" s="604"/>
    </row>
    <row r="217" spans="58:58" x14ac:dyDescent="0.2">
      <c r="BF217" s="604"/>
    </row>
    <row r="218" spans="58:58" x14ac:dyDescent="0.2">
      <c r="BF218" s="604"/>
    </row>
    <row r="219" spans="58:58" x14ac:dyDescent="0.2">
      <c r="BF219" s="604"/>
    </row>
    <row r="220" spans="58:58" x14ac:dyDescent="0.2">
      <c r="BF220" s="604"/>
    </row>
    <row r="221" spans="58:58" x14ac:dyDescent="0.2">
      <c r="BF221" s="604"/>
    </row>
    <row r="222" spans="58:58" x14ac:dyDescent="0.2">
      <c r="BF222" s="604"/>
    </row>
    <row r="223" spans="58:58" x14ac:dyDescent="0.2">
      <c r="BF223" s="604"/>
    </row>
    <row r="224" spans="58:58" x14ac:dyDescent="0.2">
      <c r="BF224" s="604"/>
    </row>
    <row r="225" spans="58:58" x14ac:dyDescent="0.2">
      <c r="BF225" s="604"/>
    </row>
    <row r="226" spans="58:58" x14ac:dyDescent="0.2">
      <c r="BF226" s="604"/>
    </row>
    <row r="227" spans="58:58" x14ac:dyDescent="0.2">
      <c r="BF227" s="604"/>
    </row>
    <row r="228" spans="58:58" x14ac:dyDescent="0.2">
      <c r="BF228" s="604"/>
    </row>
    <row r="229" spans="58:58" x14ac:dyDescent="0.2">
      <c r="BF229" s="604"/>
    </row>
    <row r="230" spans="58:58" x14ac:dyDescent="0.2">
      <c r="BF230" s="604"/>
    </row>
    <row r="231" spans="58:58" x14ac:dyDescent="0.2">
      <c r="BF231" s="604"/>
    </row>
    <row r="232" spans="58:58" x14ac:dyDescent="0.2">
      <c r="BF232" s="604"/>
    </row>
    <row r="233" spans="58:58" x14ac:dyDescent="0.2">
      <c r="BF233" s="604"/>
    </row>
    <row r="234" spans="58:58" x14ac:dyDescent="0.2">
      <c r="BF234" s="604"/>
    </row>
    <row r="235" spans="58:58" x14ac:dyDescent="0.2">
      <c r="BF235" s="604"/>
    </row>
    <row r="236" spans="58:58" x14ac:dyDescent="0.2">
      <c r="BF236" s="604"/>
    </row>
    <row r="237" spans="58:58" x14ac:dyDescent="0.2">
      <c r="BF237" s="604"/>
    </row>
    <row r="238" spans="58:58" x14ac:dyDescent="0.2">
      <c r="BF238" s="604"/>
    </row>
    <row r="239" spans="58:58" x14ac:dyDescent="0.2">
      <c r="BF239" s="604"/>
    </row>
    <row r="240" spans="58:58" x14ac:dyDescent="0.2">
      <c r="BF240" s="604"/>
    </row>
    <row r="241" spans="58:58" x14ac:dyDescent="0.2">
      <c r="BF241" s="604"/>
    </row>
    <row r="242" spans="58:58" x14ac:dyDescent="0.2">
      <c r="BF242" s="604"/>
    </row>
    <row r="243" spans="58:58" x14ac:dyDescent="0.2">
      <c r="BF243" s="604"/>
    </row>
    <row r="244" spans="58:58" x14ac:dyDescent="0.2">
      <c r="BF244" s="604"/>
    </row>
    <row r="245" spans="58:58" x14ac:dyDescent="0.2">
      <c r="BF245" s="604"/>
    </row>
    <row r="246" spans="58:58" x14ac:dyDescent="0.2">
      <c r="BF246" s="604"/>
    </row>
    <row r="247" spans="58:58" x14ac:dyDescent="0.2">
      <c r="BF247" s="604"/>
    </row>
    <row r="248" spans="58:58" x14ac:dyDescent="0.2">
      <c r="BF248" s="604"/>
    </row>
    <row r="249" spans="58:58" x14ac:dyDescent="0.2">
      <c r="BF249" s="604"/>
    </row>
    <row r="250" spans="58:58" x14ac:dyDescent="0.2">
      <c r="BF250" s="604"/>
    </row>
    <row r="251" spans="58:58" x14ac:dyDescent="0.2">
      <c r="BF251" s="604"/>
    </row>
    <row r="252" spans="58:58" x14ac:dyDescent="0.2">
      <c r="BF252" s="604"/>
    </row>
    <row r="253" spans="58:58" x14ac:dyDescent="0.2">
      <c r="BF253" s="604"/>
    </row>
    <row r="254" spans="58:58" x14ac:dyDescent="0.2">
      <c r="BF254" s="604"/>
    </row>
    <row r="255" spans="58:58" x14ac:dyDescent="0.2">
      <c r="BF255" s="604"/>
    </row>
    <row r="256" spans="58:58" x14ac:dyDescent="0.2">
      <c r="BF256" s="604"/>
    </row>
    <row r="257" spans="58:58" x14ac:dyDescent="0.2">
      <c r="BF257" s="604"/>
    </row>
    <row r="258" spans="58:58" x14ac:dyDescent="0.2">
      <c r="BF258" s="604"/>
    </row>
    <row r="259" spans="58:58" x14ac:dyDescent="0.2">
      <c r="BF259" s="604"/>
    </row>
    <row r="260" spans="58:58" x14ac:dyDescent="0.2">
      <c r="BF260" s="604"/>
    </row>
    <row r="261" spans="58:58" x14ac:dyDescent="0.2">
      <c r="BF261" s="604"/>
    </row>
    <row r="262" spans="58:58" x14ac:dyDescent="0.2">
      <c r="BF262" s="604"/>
    </row>
    <row r="263" spans="58:58" x14ac:dyDescent="0.2">
      <c r="BF263" s="604"/>
    </row>
    <row r="264" spans="58:58" x14ac:dyDescent="0.2">
      <c r="BF264" s="604"/>
    </row>
    <row r="265" spans="58:58" x14ac:dyDescent="0.2">
      <c r="BF265" s="604"/>
    </row>
    <row r="266" spans="58:58" x14ac:dyDescent="0.2">
      <c r="BF266" s="604"/>
    </row>
    <row r="267" spans="58:58" x14ac:dyDescent="0.2">
      <c r="BF267" s="604"/>
    </row>
    <row r="268" spans="58:58" x14ac:dyDescent="0.2">
      <c r="BF268" s="604"/>
    </row>
    <row r="269" spans="58:58" x14ac:dyDescent="0.2">
      <c r="BF269" s="604"/>
    </row>
    <row r="270" spans="58:58" x14ac:dyDescent="0.2">
      <c r="BF270" s="604"/>
    </row>
    <row r="271" spans="58:58" x14ac:dyDescent="0.2">
      <c r="BF271" s="604"/>
    </row>
    <row r="272" spans="58:58" x14ac:dyDescent="0.2">
      <c r="BF272" s="604"/>
    </row>
    <row r="273" spans="58:58" x14ac:dyDescent="0.2">
      <c r="BF273" s="604"/>
    </row>
    <row r="274" spans="58:58" x14ac:dyDescent="0.2">
      <c r="BF274" s="604"/>
    </row>
    <row r="275" spans="58:58" x14ac:dyDescent="0.2">
      <c r="BF275" s="604"/>
    </row>
    <row r="276" spans="58:58" x14ac:dyDescent="0.2">
      <c r="BF276" s="604"/>
    </row>
    <row r="277" spans="58:58" x14ac:dyDescent="0.2">
      <c r="BF277" s="604"/>
    </row>
    <row r="278" spans="58:58" x14ac:dyDescent="0.2">
      <c r="BF278" s="604"/>
    </row>
    <row r="279" spans="58:58" x14ac:dyDescent="0.2">
      <c r="BF279" s="604"/>
    </row>
    <row r="280" spans="58:58" x14ac:dyDescent="0.2">
      <c r="BF280" s="604"/>
    </row>
    <row r="281" spans="58:58" x14ac:dyDescent="0.2">
      <c r="BF281" s="604"/>
    </row>
    <row r="282" spans="58:58" x14ac:dyDescent="0.2">
      <c r="BF282" s="604"/>
    </row>
    <row r="283" spans="58:58" x14ac:dyDescent="0.2">
      <c r="BF283" s="604"/>
    </row>
    <row r="284" spans="58:58" x14ac:dyDescent="0.2">
      <c r="BF284" s="604"/>
    </row>
    <row r="285" spans="58:58" x14ac:dyDescent="0.2">
      <c r="BF285" s="604"/>
    </row>
    <row r="286" spans="58:58" x14ac:dyDescent="0.2">
      <c r="BF286" s="604"/>
    </row>
    <row r="287" spans="58:58" x14ac:dyDescent="0.2">
      <c r="BF287" s="604"/>
    </row>
    <row r="288" spans="58:58" x14ac:dyDescent="0.2">
      <c r="BF288" s="604"/>
    </row>
    <row r="289" spans="58:58" x14ac:dyDescent="0.2">
      <c r="BF289" s="604"/>
    </row>
    <row r="290" spans="58:58" x14ac:dyDescent="0.2">
      <c r="BF290" s="604"/>
    </row>
    <row r="291" spans="58:58" x14ac:dyDescent="0.2">
      <c r="BF291" s="604"/>
    </row>
    <row r="292" spans="58:58" x14ac:dyDescent="0.2">
      <c r="BF292" s="604"/>
    </row>
    <row r="293" spans="58:58" x14ac:dyDescent="0.2">
      <c r="BF293" s="604"/>
    </row>
    <row r="294" spans="58:58" x14ac:dyDescent="0.2">
      <c r="BF294" s="604"/>
    </row>
    <row r="295" spans="58:58" x14ac:dyDescent="0.2">
      <c r="BF295" s="604"/>
    </row>
    <row r="296" spans="58:58" x14ac:dyDescent="0.2">
      <c r="BF296" s="604"/>
    </row>
    <row r="297" spans="58:58" x14ac:dyDescent="0.2">
      <c r="BF297" s="604"/>
    </row>
    <row r="298" spans="58:58" x14ac:dyDescent="0.2">
      <c r="BF298" s="604"/>
    </row>
    <row r="299" spans="58:58" x14ac:dyDescent="0.2">
      <c r="BF299" s="604"/>
    </row>
    <row r="300" spans="58:58" x14ac:dyDescent="0.2">
      <c r="BF300" s="604"/>
    </row>
    <row r="301" spans="58:58" x14ac:dyDescent="0.2">
      <c r="BF301" s="604"/>
    </row>
    <row r="302" spans="58:58" x14ac:dyDescent="0.2">
      <c r="BF302" s="604"/>
    </row>
    <row r="303" spans="58:58" x14ac:dyDescent="0.2">
      <c r="BF303" s="604"/>
    </row>
    <row r="304" spans="58:58" x14ac:dyDescent="0.2">
      <c r="BF304" s="604"/>
    </row>
    <row r="305" spans="58:58" x14ac:dyDescent="0.2">
      <c r="BF305" s="604"/>
    </row>
    <row r="306" spans="58:58" x14ac:dyDescent="0.2">
      <c r="BF306" s="604"/>
    </row>
    <row r="307" spans="58:58" x14ac:dyDescent="0.2">
      <c r="BF307" s="604"/>
    </row>
    <row r="308" spans="58:58" x14ac:dyDescent="0.2">
      <c r="BF308" s="604"/>
    </row>
    <row r="309" spans="58:58" x14ac:dyDescent="0.2">
      <c r="BF309" s="604"/>
    </row>
    <row r="310" spans="58:58" x14ac:dyDescent="0.2">
      <c r="BF310" s="604"/>
    </row>
    <row r="311" spans="58:58" x14ac:dyDescent="0.2">
      <c r="BF311" s="604"/>
    </row>
    <row r="312" spans="58:58" x14ac:dyDescent="0.2">
      <c r="BF312" s="604"/>
    </row>
    <row r="313" spans="58:58" x14ac:dyDescent="0.2">
      <c r="BF313" s="604"/>
    </row>
    <row r="314" spans="58:58" x14ac:dyDescent="0.2">
      <c r="BF314" s="604"/>
    </row>
    <row r="315" spans="58:58" x14ac:dyDescent="0.2">
      <c r="BF315" s="604"/>
    </row>
    <row r="316" spans="58:58" x14ac:dyDescent="0.2">
      <c r="BF316" s="604"/>
    </row>
    <row r="317" spans="58:58" x14ac:dyDescent="0.2">
      <c r="BF317" s="604"/>
    </row>
    <row r="318" spans="58:58" x14ac:dyDescent="0.2">
      <c r="BF318" s="604"/>
    </row>
    <row r="319" spans="58:58" x14ac:dyDescent="0.2">
      <c r="BF319" s="604"/>
    </row>
    <row r="320" spans="58:58" x14ac:dyDescent="0.2">
      <c r="BF320" s="604"/>
    </row>
    <row r="321" spans="58:58" x14ac:dyDescent="0.2">
      <c r="BF321" s="604"/>
    </row>
    <row r="322" spans="58:58" x14ac:dyDescent="0.2">
      <c r="BF322" s="604"/>
    </row>
    <row r="323" spans="58:58" x14ac:dyDescent="0.2">
      <c r="BF323" s="604"/>
    </row>
    <row r="324" spans="58:58" x14ac:dyDescent="0.2">
      <c r="BF324" s="604"/>
    </row>
    <row r="325" spans="58:58" x14ac:dyDescent="0.2">
      <c r="BF325" s="604"/>
    </row>
    <row r="326" spans="58:58" x14ac:dyDescent="0.2">
      <c r="BF326" s="604"/>
    </row>
    <row r="327" spans="58:58" x14ac:dyDescent="0.2">
      <c r="BF327" s="604"/>
    </row>
    <row r="328" spans="58:58" x14ac:dyDescent="0.2">
      <c r="BF328" s="604"/>
    </row>
    <row r="329" spans="58:58" x14ac:dyDescent="0.2">
      <c r="BF329" s="604"/>
    </row>
    <row r="330" spans="58:58" x14ac:dyDescent="0.2">
      <c r="BF330" s="604"/>
    </row>
    <row r="331" spans="58:58" x14ac:dyDescent="0.2">
      <c r="BF331" s="604"/>
    </row>
    <row r="332" spans="58:58" x14ac:dyDescent="0.2">
      <c r="BF332" s="604"/>
    </row>
    <row r="333" spans="58:58" x14ac:dyDescent="0.2">
      <c r="BF333" s="604"/>
    </row>
    <row r="334" spans="58:58" x14ac:dyDescent="0.2">
      <c r="BF334" s="604"/>
    </row>
    <row r="335" spans="58:58" x14ac:dyDescent="0.2">
      <c r="BF335" s="604"/>
    </row>
    <row r="336" spans="58:58" x14ac:dyDescent="0.2">
      <c r="BF336" s="604"/>
    </row>
    <row r="337" spans="58:58" x14ac:dyDescent="0.2">
      <c r="BF337" s="604"/>
    </row>
    <row r="338" spans="58:58" x14ac:dyDescent="0.2">
      <c r="BF338" s="604"/>
    </row>
    <row r="339" spans="58:58" x14ac:dyDescent="0.2">
      <c r="BF339" s="604"/>
    </row>
    <row r="340" spans="58:58" x14ac:dyDescent="0.2">
      <c r="BF340" s="604"/>
    </row>
    <row r="341" spans="58:58" x14ac:dyDescent="0.2">
      <c r="BF341" s="604"/>
    </row>
    <row r="342" spans="58:58" x14ac:dyDescent="0.2">
      <c r="BF342" s="604"/>
    </row>
    <row r="343" spans="58:58" x14ac:dyDescent="0.2">
      <c r="BF343" s="604"/>
    </row>
    <row r="344" spans="58:58" x14ac:dyDescent="0.2">
      <c r="BF344" s="604"/>
    </row>
    <row r="345" spans="58:58" x14ac:dyDescent="0.2">
      <c r="BF345" s="604"/>
    </row>
    <row r="346" spans="58:58" x14ac:dyDescent="0.2">
      <c r="BF346" s="604"/>
    </row>
    <row r="347" spans="58:58" x14ac:dyDescent="0.2">
      <c r="BF347" s="604"/>
    </row>
    <row r="348" spans="58:58" x14ac:dyDescent="0.2">
      <c r="BF348" s="604"/>
    </row>
    <row r="349" spans="58:58" x14ac:dyDescent="0.2">
      <c r="BF349" s="604"/>
    </row>
    <row r="350" spans="58:58" x14ac:dyDescent="0.2">
      <c r="BF350" s="604"/>
    </row>
    <row r="351" spans="58:58" x14ac:dyDescent="0.2">
      <c r="BF351" s="604"/>
    </row>
    <row r="352" spans="58:58" x14ac:dyDescent="0.2">
      <c r="BF352" s="604"/>
    </row>
    <row r="353" spans="58:58" x14ac:dyDescent="0.2">
      <c r="BF353" s="604"/>
    </row>
    <row r="354" spans="58:58" x14ac:dyDescent="0.2">
      <c r="BF354" s="604"/>
    </row>
    <row r="355" spans="58:58" x14ac:dyDescent="0.2">
      <c r="BF355" s="604"/>
    </row>
    <row r="356" spans="58:58" x14ac:dyDescent="0.2">
      <c r="BF356" s="604"/>
    </row>
    <row r="357" spans="58:58" x14ac:dyDescent="0.2">
      <c r="BF357" s="604"/>
    </row>
    <row r="358" spans="58:58" x14ac:dyDescent="0.2">
      <c r="BF358" s="604"/>
    </row>
    <row r="359" spans="58:58" x14ac:dyDescent="0.2">
      <c r="BF359" s="604"/>
    </row>
    <row r="360" spans="58:58" x14ac:dyDescent="0.2">
      <c r="BF360" s="604"/>
    </row>
    <row r="361" spans="58:58" x14ac:dyDescent="0.2">
      <c r="BF361" s="604"/>
    </row>
    <row r="362" spans="58:58" x14ac:dyDescent="0.2">
      <c r="BF362" s="604"/>
    </row>
    <row r="363" spans="58:58" x14ac:dyDescent="0.2">
      <c r="BF363" s="604"/>
    </row>
    <row r="364" spans="58:58" x14ac:dyDescent="0.2">
      <c r="BF364" s="604"/>
    </row>
    <row r="365" spans="58:58" x14ac:dyDescent="0.2">
      <c r="BF365" s="604"/>
    </row>
    <row r="366" spans="58:58" x14ac:dyDescent="0.2">
      <c r="BF366" s="604"/>
    </row>
    <row r="367" spans="58:58" x14ac:dyDescent="0.2">
      <c r="BF367" s="604"/>
    </row>
    <row r="368" spans="58:58" x14ac:dyDescent="0.2">
      <c r="BF368" s="604"/>
    </row>
    <row r="369" spans="58:58" x14ac:dyDescent="0.2">
      <c r="BF369" s="604"/>
    </row>
    <row r="370" spans="58:58" x14ac:dyDescent="0.2">
      <c r="BF370" s="604"/>
    </row>
    <row r="371" spans="58:58" x14ac:dyDescent="0.2">
      <c r="BF371" s="604"/>
    </row>
    <row r="372" spans="58:58" x14ac:dyDescent="0.2">
      <c r="BF372" s="604"/>
    </row>
    <row r="373" spans="58:58" x14ac:dyDescent="0.2">
      <c r="BF373" s="604"/>
    </row>
    <row r="374" spans="58:58" x14ac:dyDescent="0.2">
      <c r="BF374" s="604"/>
    </row>
    <row r="375" spans="58:58" x14ac:dyDescent="0.2">
      <c r="BF375" s="604"/>
    </row>
    <row r="376" spans="58:58" x14ac:dyDescent="0.2">
      <c r="BF376" s="604"/>
    </row>
    <row r="377" spans="58:58" x14ac:dyDescent="0.2">
      <c r="BF377" s="604"/>
    </row>
    <row r="378" spans="58:58" x14ac:dyDescent="0.2">
      <c r="BF378" s="604"/>
    </row>
    <row r="379" spans="58:58" x14ac:dyDescent="0.2">
      <c r="BF379" s="604"/>
    </row>
    <row r="380" spans="58:58" x14ac:dyDescent="0.2">
      <c r="BF380" s="604"/>
    </row>
    <row r="381" spans="58:58" x14ac:dyDescent="0.2">
      <c r="BF381" s="604"/>
    </row>
    <row r="382" spans="58:58" x14ac:dyDescent="0.2">
      <c r="BF382" s="604"/>
    </row>
    <row r="383" spans="58:58" x14ac:dyDescent="0.2">
      <c r="BF383" s="604"/>
    </row>
    <row r="384" spans="58:58" x14ac:dyDescent="0.2">
      <c r="BF384" s="604"/>
    </row>
    <row r="385" spans="58:58" x14ac:dyDescent="0.2">
      <c r="BF385" s="604"/>
    </row>
    <row r="386" spans="58:58" x14ac:dyDescent="0.2">
      <c r="BF386" s="604"/>
    </row>
    <row r="387" spans="58:58" x14ac:dyDescent="0.2">
      <c r="BF387" s="604"/>
    </row>
    <row r="388" spans="58:58" x14ac:dyDescent="0.2">
      <c r="BF388" s="604"/>
    </row>
    <row r="389" spans="58:58" x14ac:dyDescent="0.2">
      <c r="BF389" s="604"/>
    </row>
    <row r="390" spans="58:58" x14ac:dyDescent="0.2">
      <c r="BF390" s="604"/>
    </row>
    <row r="391" spans="58:58" x14ac:dyDescent="0.2">
      <c r="BF391" s="604"/>
    </row>
    <row r="392" spans="58:58" x14ac:dyDescent="0.2">
      <c r="BF392" s="604"/>
    </row>
    <row r="393" spans="58:58" x14ac:dyDescent="0.2">
      <c r="BF393" s="604"/>
    </row>
    <row r="394" spans="58:58" x14ac:dyDescent="0.2">
      <c r="BF394" s="604"/>
    </row>
    <row r="395" spans="58:58" x14ac:dyDescent="0.2">
      <c r="BF395" s="604"/>
    </row>
    <row r="396" spans="58:58" x14ac:dyDescent="0.2">
      <c r="BF396" s="604"/>
    </row>
    <row r="397" spans="58:58" x14ac:dyDescent="0.2">
      <c r="BF397" s="604"/>
    </row>
    <row r="398" spans="58:58" x14ac:dyDescent="0.2">
      <c r="BF398" s="604"/>
    </row>
    <row r="399" spans="58:58" x14ac:dyDescent="0.2">
      <c r="BF399" s="604"/>
    </row>
    <row r="400" spans="58:58" x14ac:dyDescent="0.2">
      <c r="BF400" s="604"/>
    </row>
    <row r="401" spans="58:58" x14ac:dyDescent="0.2">
      <c r="BF401" s="604"/>
    </row>
    <row r="402" spans="58:58" x14ac:dyDescent="0.2">
      <c r="BF402" s="604"/>
    </row>
    <row r="403" spans="58:58" x14ac:dyDescent="0.2">
      <c r="BF403" s="604"/>
    </row>
    <row r="404" spans="58:58" x14ac:dyDescent="0.2">
      <c r="BF404" s="604"/>
    </row>
    <row r="405" spans="58:58" x14ac:dyDescent="0.2">
      <c r="BF405" s="604"/>
    </row>
    <row r="406" spans="58:58" x14ac:dyDescent="0.2">
      <c r="BF406" s="604"/>
    </row>
    <row r="407" spans="58:58" x14ac:dyDescent="0.2">
      <c r="BF407" s="604"/>
    </row>
    <row r="408" spans="58:58" x14ac:dyDescent="0.2">
      <c r="BF408" s="604"/>
    </row>
    <row r="409" spans="58:58" x14ac:dyDescent="0.2">
      <c r="BF409" s="604"/>
    </row>
    <row r="410" spans="58:58" x14ac:dyDescent="0.2">
      <c r="BF410" s="604"/>
    </row>
    <row r="411" spans="58:58" x14ac:dyDescent="0.2">
      <c r="BF411" s="604"/>
    </row>
    <row r="412" spans="58:58" x14ac:dyDescent="0.2">
      <c r="BF412" s="604"/>
    </row>
    <row r="413" spans="58:58" x14ac:dyDescent="0.2">
      <c r="BF413" s="604"/>
    </row>
    <row r="414" spans="58:58" x14ac:dyDescent="0.2">
      <c r="BF414" s="604"/>
    </row>
    <row r="415" spans="58:58" x14ac:dyDescent="0.2">
      <c r="BF415" s="604"/>
    </row>
    <row r="416" spans="58:58" x14ac:dyDescent="0.2">
      <c r="BF416" s="604"/>
    </row>
    <row r="417" spans="58:58" x14ac:dyDescent="0.2">
      <c r="BF417" s="604"/>
    </row>
    <row r="418" spans="58:58" x14ac:dyDescent="0.2">
      <c r="BF418" s="604"/>
    </row>
    <row r="419" spans="58:58" x14ac:dyDescent="0.2">
      <c r="BF419" s="604"/>
    </row>
    <row r="420" spans="58:58" x14ac:dyDescent="0.2">
      <c r="BF420" s="604"/>
    </row>
    <row r="421" spans="58:58" x14ac:dyDescent="0.2">
      <c r="BF421" s="604"/>
    </row>
    <row r="422" spans="58:58" x14ac:dyDescent="0.2">
      <c r="BF422" s="604"/>
    </row>
    <row r="423" spans="58:58" x14ac:dyDescent="0.2">
      <c r="BF423" s="604"/>
    </row>
    <row r="424" spans="58:58" x14ac:dyDescent="0.2">
      <c r="BF424" s="604"/>
    </row>
    <row r="425" spans="58:58" x14ac:dyDescent="0.2">
      <c r="BF425" s="604"/>
    </row>
    <row r="426" spans="58:58" x14ac:dyDescent="0.2">
      <c r="BF426" s="604"/>
    </row>
    <row r="427" spans="58:58" x14ac:dyDescent="0.2">
      <c r="BF427" s="604"/>
    </row>
    <row r="428" spans="58:58" x14ac:dyDescent="0.2">
      <c r="BF428" s="604"/>
    </row>
    <row r="429" spans="58:58" x14ac:dyDescent="0.2">
      <c r="BF429" s="604"/>
    </row>
    <row r="430" spans="58:58" x14ac:dyDescent="0.2">
      <c r="BF430" s="604"/>
    </row>
    <row r="431" spans="58:58" x14ac:dyDescent="0.2">
      <c r="BF431" s="604"/>
    </row>
    <row r="432" spans="58:58" x14ac:dyDescent="0.2">
      <c r="BF432" s="604"/>
    </row>
    <row r="433" spans="58:58" x14ac:dyDescent="0.2">
      <c r="BF433" s="604"/>
    </row>
    <row r="434" spans="58:58" x14ac:dyDescent="0.2">
      <c r="BF434" s="604"/>
    </row>
    <row r="435" spans="58:58" x14ac:dyDescent="0.2">
      <c r="BF435" s="604"/>
    </row>
    <row r="436" spans="58:58" x14ac:dyDescent="0.2">
      <c r="BF436" s="604"/>
    </row>
    <row r="437" spans="58:58" x14ac:dyDescent="0.2">
      <c r="BF437" s="604"/>
    </row>
    <row r="438" spans="58:58" x14ac:dyDescent="0.2">
      <c r="BF438" s="604"/>
    </row>
    <row r="439" spans="58:58" x14ac:dyDescent="0.2">
      <c r="BF439" s="604"/>
    </row>
    <row r="440" spans="58:58" x14ac:dyDescent="0.2">
      <c r="BF440" s="604"/>
    </row>
    <row r="441" spans="58:58" x14ac:dyDescent="0.2">
      <c r="BF441" s="604"/>
    </row>
    <row r="442" spans="58:58" x14ac:dyDescent="0.2">
      <c r="BF442" s="604"/>
    </row>
    <row r="443" spans="58:58" x14ac:dyDescent="0.2">
      <c r="BF443" s="604"/>
    </row>
    <row r="444" spans="58:58" x14ac:dyDescent="0.2">
      <c r="BF444" s="604"/>
    </row>
    <row r="445" spans="58:58" x14ac:dyDescent="0.2">
      <c r="BF445" s="604"/>
    </row>
    <row r="446" spans="58:58" x14ac:dyDescent="0.2">
      <c r="BF446" s="604"/>
    </row>
    <row r="447" spans="58:58" x14ac:dyDescent="0.2">
      <c r="BF447" s="604"/>
    </row>
    <row r="448" spans="58:58" x14ac:dyDescent="0.2">
      <c r="BF448" s="604"/>
    </row>
    <row r="449" spans="58:58" x14ac:dyDescent="0.2">
      <c r="BF449" s="604"/>
    </row>
    <row r="450" spans="58:58" x14ac:dyDescent="0.2">
      <c r="BF450" s="604"/>
    </row>
    <row r="451" spans="58:58" x14ac:dyDescent="0.2">
      <c r="BF451" s="604"/>
    </row>
    <row r="452" spans="58:58" x14ac:dyDescent="0.2">
      <c r="BF452" s="604"/>
    </row>
    <row r="453" spans="58:58" x14ac:dyDescent="0.2">
      <c r="BF453" s="604"/>
    </row>
    <row r="454" spans="58:58" x14ac:dyDescent="0.2">
      <c r="BF454" s="604"/>
    </row>
    <row r="455" spans="58:58" x14ac:dyDescent="0.2">
      <c r="BF455" s="604"/>
    </row>
    <row r="456" spans="58:58" x14ac:dyDescent="0.2">
      <c r="BF456" s="604"/>
    </row>
    <row r="457" spans="58:58" x14ac:dyDescent="0.2">
      <c r="BF457" s="604"/>
    </row>
    <row r="458" spans="58:58" x14ac:dyDescent="0.2">
      <c r="BF458" s="604"/>
    </row>
    <row r="459" spans="58:58" x14ac:dyDescent="0.2">
      <c r="BF459" s="604"/>
    </row>
    <row r="460" spans="58:58" x14ac:dyDescent="0.2">
      <c r="BF460" s="604"/>
    </row>
    <row r="461" spans="58:58" x14ac:dyDescent="0.2">
      <c r="BF461" s="604"/>
    </row>
    <row r="462" spans="58:58" x14ac:dyDescent="0.2">
      <c r="BF462" s="604"/>
    </row>
    <row r="463" spans="58:58" x14ac:dyDescent="0.2">
      <c r="BF463" s="604"/>
    </row>
    <row r="464" spans="58:58" x14ac:dyDescent="0.2">
      <c r="BF464" s="604"/>
    </row>
    <row r="465" spans="58:58" x14ac:dyDescent="0.2">
      <c r="BF465" s="604"/>
    </row>
    <row r="466" spans="58:58" x14ac:dyDescent="0.2">
      <c r="BF466" s="604"/>
    </row>
    <row r="467" spans="58:58" x14ac:dyDescent="0.2">
      <c r="BF467" s="604"/>
    </row>
    <row r="468" spans="58:58" x14ac:dyDescent="0.2">
      <c r="BF468" s="604"/>
    </row>
    <row r="469" spans="58:58" x14ac:dyDescent="0.2">
      <c r="BF469" s="604"/>
    </row>
    <row r="470" spans="58:58" x14ac:dyDescent="0.2">
      <c r="BF470" s="604"/>
    </row>
    <row r="471" spans="58:58" x14ac:dyDescent="0.2">
      <c r="BF471" s="604"/>
    </row>
    <row r="472" spans="58:58" x14ac:dyDescent="0.2">
      <c r="BF472" s="604"/>
    </row>
    <row r="473" spans="58:58" x14ac:dyDescent="0.2">
      <c r="BF473" s="604"/>
    </row>
    <row r="474" spans="58:58" x14ac:dyDescent="0.2">
      <c r="BF474" s="604"/>
    </row>
    <row r="475" spans="58:58" x14ac:dyDescent="0.2">
      <c r="BF475" s="604"/>
    </row>
    <row r="476" spans="58:58" x14ac:dyDescent="0.2">
      <c r="BF476" s="604"/>
    </row>
    <row r="477" spans="58:58" x14ac:dyDescent="0.2">
      <c r="BF477" s="604"/>
    </row>
    <row r="478" spans="58:58" x14ac:dyDescent="0.2">
      <c r="BF478" s="604"/>
    </row>
    <row r="479" spans="58:58" x14ac:dyDescent="0.2">
      <c r="BF479" s="604"/>
    </row>
    <row r="480" spans="58:58" x14ac:dyDescent="0.2">
      <c r="BF480" s="604"/>
    </row>
    <row r="481" spans="58:58" x14ac:dyDescent="0.2">
      <c r="BF481" s="604"/>
    </row>
    <row r="482" spans="58:58" x14ac:dyDescent="0.2">
      <c r="BF482" s="604"/>
    </row>
    <row r="483" spans="58:58" x14ac:dyDescent="0.2">
      <c r="BF483" s="604"/>
    </row>
    <row r="484" spans="58:58" x14ac:dyDescent="0.2">
      <c r="BF484" s="604"/>
    </row>
    <row r="485" spans="58:58" x14ac:dyDescent="0.2">
      <c r="BF485" s="604"/>
    </row>
    <row r="486" spans="58:58" x14ac:dyDescent="0.2">
      <c r="BF486" s="604"/>
    </row>
    <row r="487" spans="58:58" x14ac:dyDescent="0.2">
      <c r="BF487" s="604"/>
    </row>
    <row r="488" spans="58:58" x14ac:dyDescent="0.2">
      <c r="BF488" s="604"/>
    </row>
    <row r="489" spans="58:58" x14ac:dyDescent="0.2">
      <c r="BF489" s="604"/>
    </row>
    <row r="490" spans="58:58" x14ac:dyDescent="0.2">
      <c r="BF490" s="604"/>
    </row>
    <row r="491" spans="58:58" x14ac:dyDescent="0.2">
      <c r="BF491" s="604"/>
    </row>
    <row r="492" spans="58:58" x14ac:dyDescent="0.2">
      <c r="BF492" s="604"/>
    </row>
    <row r="493" spans="58:58" x14ac:dyDescent="0.2">
      <c r="BF493" s="604"/>
    </row>
    <row r="494" spans="58:58" x14ac:dyDescent="0.2">
      <c r="BF494" s="604"/>
    </row>
    <row r="495" spans="58:58" x14ac:dyDescent="0.2">
      <c r="BF495" s="604"/>
    </row>
    <row r="496" spans="58:58" x14ac:dyDescent="0.2">
      <c r="BF496" s="604"/>
    </row>
    <row r="497" spans="58:58" x14ac:dyDescent="0.2">
      <c r="BF497" s="604"/>
    </row>
    <row r="498" spans="58:58" x14ac:dyDescent="0.2">
      <c r="BF498" s="604"/>
    </row>
    <row r="499" spans="58:58" x14ac:dyDescent="0.2">
      <c r="BF499" s="604"/>
    </row>
    <row r="500" spans="58:58" x14ac:dyDescent="0.2">
      <c r="BF500" s="604"/>
    </row>
    <row r="501" spans="58:58" x14ac:dyDescent="0.2">
      <c r="BF501" s="604"/>
    </row>
    <row r="502" spans="58:58" x14ac:dyDescent="0.2">
      <c r="BF502" s="604"/>
    </row>
    <row r="503" spans="58:58" x14ac:dyDescent="0.2">
      <c r="BF503" s="604"/>
    </row>
    <row r="504" spans="58:58" x14ac:dyDescent="0.2">
      <c r="BF504" s="604"/>
    </row>
    <row r="505" spans="58:58" x14ac:dyDescent="0.2">
      <c r="BF505" s="604"/>
    </row>
    <row r="506" spans="58:58" x14ac:dyDescent="0.2">
      <c r="BF506" s="604"/>
    </row>
    <row r="507" spans="58:58" x14ac:dyDescent="0.2">
      <c r="BF507" s="604"/>
    </row>
    <row r="508" spans="58:58" x14ac:dyDescent="0.2">
      <c r="BF508" s="604"/>
    </row>
    <row r="509" spans="58:58" x14ac:dyDescent="0.2">
      <c r="BF509" s="604"/>
    </row>
    <row r="510" spans="58:58" x14ac:dyDescent="0.2">
      <c r="BF510" s="604"/>
    </row>
    <row r="511" spans="58:58" x14ac:dyDescent="0.2">
      <c r="BF511" s="604"/>
    </row>
    <row r="512" spans="58:58" x14ac:dyDescent="0.2">
      <c r="BF512" s="604"/>
    </row>
    <row r="513" spans="58:58" x14ac:dyDescent="0.2">
      <c r="BF513" s="604"/>
    </row>
    <row r="514" spans="58:58" x14ac:dyDescent="0.2">
      <c r="BF514" s="604"/>
    </row>
    <row r="515" spans="58:58" x14ac:dyDescent="0.2">
      <c r="BF515" s="604"/>
    </row>
    <row r="516" spans="58:58" x14ac:dyDescent="0.2">
      <c r="BF516" s="604"/>
    </row>
    <row r="517" spans="58:58" x14ac:dyDescent="0.2">
      <c r="BF517" s="604"/>
    </row>
    <row r="518" spans="58:58" x14ac:dyDescent="0.2">
      <c r="BF518" s="604"/>
    </row>
    <row r="519" spans="58:58" x14ac:dyDescent="0.2">
      <c r="BF519" s="604"/>
    </row>
    <row r="520" spans="58:58" x14ac:dyDescent="0.2">
      <c r="BF520" s="604"/>
    </row>
    <row r="521" spans="58:58" x14ac:dyDescent="0.2">
      <c r="BF521" s="604"/>
    </row>
    <row r="522" spans="58:58" x14ac:dyDescent="0.2">
      <c r="BF522" s="604"/>
    </row>
    <row r="523" spans="58:58" x14ac:dyDescent="0.2">
      <c r="BF523" s="604"/>
    </row>
    <row r="524" spans="58:58" x14ac:dyDescent="0.2">
      <c r="BF524" s="604"/>
    </row>
    <row r="525" spans="58:58" x14ac:dyDescent="0.2">
      <c r="BF525" s="604"/>
    </row>
    <row r="526" spans="58:58" x14ac:dyDescent="0.2">
      <c r="BF526" s="604"/>
    </row>
    <row r="527" spans="58:58" x14ac:dyDescent="0.2">
      <c r="BF527" s="604"/>
    </row>
    <row r="528" spans="58:58" x14ac:dyDescent="0.2">
      <c r="BF528" s="604"/>
    </row>
    <row r="529" spans="58:58" x14ac:dyDescent="0.2">
      <c r="BF529" s="604"/>
    </row>
  </sheetData>
  <mergeCells count="31">
    <mergeCell ref="F8:BD8"/>
    <mergeCell ref="O9:Q9"/>
    <mergeCell ref="AG9:AI9"/>
    <mergeCell ref="AJ9:AL9"/>
    <mergeCell ref="BB9:BD9"/>
    <mergeCell ref="AY9:BA9"/>
    <mergeCell ref="A9:C9"/>
    <mergeCell ref="F9:H9"/>
    <mergeCell ref="L9:N9"/>
    <mergeCell ref="I9:K9"/>
    <mergeCell ref="AV9:AX9"/>
    <mergeCell ref="R9:V9"/>
    <mergeCell ref="W9:AA9"/>
    <mergeCell ref="AB9:AF9"/>
    <mergeCell ref="AP9:AR9"/>
    <mergeCell ref="AS9:AU9"/>
    <mergeCell ref="AM9:AO9"/>
    <mergeCell ref="CH9:CJ9"/>
    <mergeCell ref="CK9:CM9"/>
    <mergeCell ref="CB8:CM8"/>
    <mergeCell ref="BE8:BO8"/>
    <mergeCell ref="BH9:BK9"/>
    <mergeCell ref="BS9:BU9"/>
    <mergeCell ref="BV9:BX9"/>
    <mergeCell ref="CE9:CG9"/>
    <mergeCell ref="CB9:CD9"/>
    <mergeCell ref="BP9:BR9"/>
    <mergeCell ref="BL9:BO9"/>
    <mergeCell ref="BE9:BG9"/>
    <mergeCell ref="BY9:CA9"/>
    <mergeCell ref="BP8:CA8"/>
  </mergeCells>
  <conditionalFormatting sqref="DB28:DB59 DD20:DD59 DD19:DI19 CS19:CZ59 DE20:DI97">
    <cfRule type="expression" dxfId="99" priority="125">
      <formula>CS19=0</formula>
    </cfRule>
  </conditionalFormatting>
  <conditionalFormatting sqref="F28:G59">
    <cfRule type="expression" dxfId="98" priority="123">
      <formula>$B$3="нет"</formula>
    </cfRule>
  </conditionalFormatting>
  <conditionalFormatting sqref="L28:M59">
    <cfRule type="expression" dxfId="97" priority="122">
      <formula>$B$3="нет"</formula>
    </cfRule>
  </conditionalFormatting>
  <conditionalFormatting sqref="AY19:AZ19">
    <cfRule type="expression" dxfId="96" priority="121">
      <formula>$B$3="нет"</formula>
    </cfRule>
  </conditionalFormatting>
  <conditionalFormatting sqref="F19:G19">
    <cfRule type="expression" dxfId="95" priority="118">
      <formula>$B$3="нет"</formula>
    </cfRule>
  </conditionalFormatting>
  <conditionalFormatting sqref="L19:M19">
    <cfRule type="expression" dxfId="94" priority="117">
      <formula>$B$3="нет"</formula>
    </cfRule>
  </conditionalFormatting>
  <conditionalFormatting sqref="AP19:AQ19">
    <cfRule type="expression" dxfId="93" priority="116">
      <formula>$B$3="нет"</formula>
    </cfRule>
  </conditionalFormatting>
  <conditionalFormatting sqref="DC28:DC59 DB19:DC27">
    <cfRule type="expression" dxfId="92" priority="111">
      <formula>DB19=0</formula>
    </cfRule>
  </conditionalFormatting>
  <conditionalFormatting sqref="AP20:AQ59">
    <cfRule type="expression" dxfId="91" priority="106">
      <formula>$B$3="нет"</formula>
    </cfRule>
  </conditionalFormatting>
  <conditionalFormatting sqref="AY28:AZ59">
    <cfRule type="expression" dxfId="90" priority="105">
      <formula>$B$3="нет"</formula>
    </cfRule>
  </conditionalFormatting>
  <conditionalFormatting sqref="O28:P59 P20:P25">
    <cfRule type="expression" dxfId="89" priority="104">
      <formula>$B$3="нет"</formula>
    </cfRule>
  </conditionalFormatting>
  <conditionalFormatting sqref="P19">
    <cfRule type="expression" dxfId="88" priority="103">
      <formula>$B$3="нет"</formula>
    </cfRule>
  </conditionalFormatting>
  <conditionalFormatting sqref="AS19:AT19">
    <cfRule type="expression" dxfId="87" priority="101">
      <formula>$B$3="нет"</formula>
    </cfRule>
  </conditionalFormatting>
  <conditionalFormatting sqref="AS20:AT59">
    <cfRule type="expression" dxfId="86" priority="100">
      <formula>$B$3="нет"</formula>
    </cfRule>
  </conditionalFormatting>
  <conditionalFormatting sqref="L27:M27">
    <cfRule type="expression" dxfId="85" priority="96">
      <formula>$B$3="нет"</formula>
    </cfRule>
  </conditionalFormatting>
  <conditionalFormatting sqref="O27:P27">
    <cfRule type="expression" dxfId="84" priority="92">
      <formula>$B$3="нет"</formula>
    </cfRule>
  </conditionalFormatting>
  <conditionalFormatting sqref="I28:J59">
    <cfRule type="expression" dxfId="83" priority="87">
      <formula>$B$3="нет"</formula>
    </cfRule>
  </conditionalFormatting>
  <conditionalFormatting sqref="I19:J19">
    <cfRule type="expression" dxfId="82" priority="86">
      <formula>$B$3="нет"</formula>
    </cfRule>
  </conditionalFormatting>
  <conditionalFormatting sqref="I27:J27">
    <cfRule type="expression" dxfId="81" priority="85">
      <formula>$B$3="нет"</formula>
    </cfRule>
  </conditionalFormatting>
  <conditionalFormatting sqref="R28:U59">
    <cfRule type="expression" dxfId="80" priority="78">
      <formula>$B$3="нет"</formula>
    </cfRule>
  </conditionalFormatting>
  <conditionalFormatting sqref="R19:U19">
    <cfRule type="expression" dxfId="79" priority="77">
      <formula>$B$3="нет"</formula>
    </cfRule>
  </conditionalFormatting>
  <conditionalFormatting sqref="W19:Z19">
    <cfRule type="expression" dxfId="78" priority="74">
      <formula>$B$3="нет"</formula>
    </cfRule>
  </conditionalFormatting>
  <conditionalFormatting sqref="W28:Z59">
    <cfRule type="expression" dxfId="77" priority="75">
      <formula>$B$3="нет"</formula>
    </cfRule>
  </conditionalFormatting>
  <conditionalFormatting sqref="AG19:AH19">
    <cfRule type="expression" dxfId="76" priority="70">
      <formula>$B$3="нет"</formula>
    </cfRule>
  </conditionalFormatting>
  <conditionalFormatting sqref="AB28:AE59">
    <cfRule type="expression" dxfId="75" priority="73">
      <formula>$B$3="нет"</formula>
    </cfRule>
  </conditionalFormatting>
  <conditionalFormatting sqref="AB19:AE19">
    <cfRule type="expression" dxfId="74" priority="72">
      <formula>$B$3="нет"</formula>
    </cfRule>
  </conditionalFormatting>
  <conditionalFormatting sqref="AJ19:AK19">
    <cfRule type="expression" dxfId="73" priority="68">
      <formula>$B$3="нет"</formula>
    </cfRule>
  </conditionalFormatting>
  <conditionalFormatting sqref="AG28:AH59">
    <cfRule type="expression" dxfId="72" priority="71">
      <formula>$B$3="нет"</formula>
    </cfRule>
  </conditionalFormatting>
  <conditionalFormatting sqref="AJ28:AK59">
    <cfRule type="expression" dxfId="71" priority="69">
      <formula>$B$3="нет"</formula>
    </cfRule>
  </conditionalFormatting>
  <conditionalFormatting sqref="P26">
    <cfRule type="expression" dxfId="70" priority="61">
      <formula>$B$3="нет"</formula>
    </cfRule>
  </conditionalFormatting>
  <conditionalFormatting sqref="R20:U25 R27:U27">
    <cfRule type="expression" dxfId="69" priority="49">
      <formula>$B$3="нет"</formula>
    </cfRule>
  </conditionalFormatting>
  <conditionalFormatting sqref="R26:U26">
    <cfRule type="expression" dxfId="68" priority="48">
      <formula>$B$3="нет"</formula>
    </cfRule>
  </conditionalFormatting>
  <conditionalFormatting sqref="AG20:AH25 AG27:AH27">
    <cfRule type="expression" dxfId="67" priority="43">
      <formula>$B$3="нет"</formula>
    </cfRule>
  </conditionalFormatting>
  <conditionalFormatting sqref="AG26:AH26">
    <cfRule type="expression" dxfId="66" priority="42">
      <formula>$B$3="нет"</formula>
    </cfRule>
  </conditionalFormatting>
  <conditionalFormatting sqref="I20:J25">
    <cfRule type="expression" dxfId="65" priority="41">
      <formula>$B$3="нет"</formula>
    </cfRule>
  </conditionalFormatting>
  <conditionalFormatting sqref="I26:J26">
    <cfRule type="expression" dxfId="64" priority="40">
      <formula>$B$3="нет"</formula>
    </cfRule>
  </conditionalFormatting>
  <conditionalFormatting sqref="L20:M25">
    <cfRule type="expression" dxfId="63" priority="39">
      <formula>$B$3="нет"</formula>
    </cfRule>
  </conditionalFormatting>
  <conditionalFormatting sqref="L26:M26">
    <cfRule type="expression" dxfId="62" priority="38">
      <formula>$B$3="нет"</formula>
    </cfRule>
  </conditionalFormatting>
  <conditionalFormatting sqref="O20:O25">
    <cfRule type="expression" dxfId="61" priority="37">
      <formula>$B$3="нет"</formula>
    </cfRule>
  </conditionalFormatting>
  <conditionalFormatting sqref="O26">
    <cfRule type="expression" dxfId="60" priority="36">
      <formula>$B$3="нет"</formula>
    </cfRule>
  </conditionalFormatting>
  <conditionalFormatting sqref="O19">
    <cfRule type="expression" dxfId="59" priority="32">
      <formula>$B$3="нет"</formula>
    </cfRule>
  </conditionalFormatting>
  <conditionalFormatting sqref="AJ20:AK25 AJ27:AK27">
    <cfRule type="expression" dxfId="58" priority="29">
      <formula>$B$3="нет"</formula>
    </cfRule>
  </conditionalFormatting>
  <conditionalFormatting sqref="AJ26:AK26">
    <cfRule type="expression" dxfId="57" priority="28">
      <formula>$B$3="нет"</formula>
    </cfRule>
  </conditionalFormatting>
  <conditionalFormatting sqref="AV19:AW19">
    <cfRule type="expression" dxfId="56" priority="22">
      <formula>$B$3="нет"</formula>
    </cfRule>
  </conditionalFormatting>
  <conditionalFormatting sqref="AV20:AW27">
    <cfRule type="expression" dxfId="55" priority="21">
      <formula>$B$3="нет"</formula>
    </cfRule>
  </conditionalFormatting>
  <conditionalFormatting sqref="W20:W25 Y20:Z25">
    <cfRule type="expression" dxfId="54" priority="16">
      <formula>$B$3="нет"</formula>
    </cfRule>
  </conditionalFormatting>
  <conditionalFormatting sqref="W26 Y26:Z26">
    <cfRule type="expression" dxfId="53" priority="15">
      <formula>$B$3="нет"</formula>
    </cfRule>
  </conditionalFormatting>
  <conditionalFormatting sqref="X20:X25">
    <cfRule type="expression" dxfId="52" priority="14">
      <formula>$B$3="нет"</formula>
    </cfRule>
  </conditionalFormatting>
  <conditionalFormatting sqref="X26">
    <cfRule type="expression" dxfId="51" priority="13">
      <formula>$B$3="нет"</formula>
    </cfRule>
  </conditionalFormatting>
  <conditionalFormatting sqref="W27 Y27:Z27">
    <cfRule type="expression" dxfId="50" priority="12">
      <formula>$B$3="нет"</formula>
    </cfRule>
  </conditionalFormatting>
  <conditionalFormatting sqref="X27">
    <cfRule type="expression" dxfId="49" priority="11">
      <formula>$B$3="нет"</formula>
    </cfRule>
  </conditionalFormatting>
  <conditionalFormatting sqref="AB20:AE25 AB27:AE27">
    <cfRule type="expression" dxfId="48" priority="10">
      <formula>$B$3="нет"</formula>
    </cfRule>
  </conditionalFormatting>
  <conditionalFormatting sqref="AB26:AE26">
    <cfRule type="expression" dxfId="47" priority="9">
      <formula>$B$3="нет"</formula>
    </cfRule>
  </conditionalFormatting>
  <conditionalFormatting sqref="F20:G25 F27:G27">
    <cfRule type="expression" dxfId="46" priority="8">
      <formula>$B$3="нет"</formula>
    </cfRule>
  </conditionalFormatting>
  <conditionalFormatting sqref="F26:G26">
    <cfRule type="expression" dxfId="45" priority="7">
      <formula>$B$3="нет"</formula>
    </cfRule>
  </conditionalFormatting>
  <conditionalFormatting sqref="AY20:AZ25">
    <cfRule type="expression" dxfId="44" priority="6">
      <formula>$B$3="нет"</formula>
    </cfRule>
  </conditionalFormatting>
  <conditionalFormatting sqref="AY27:AZ27">
    <cfRule type="expression" dxfId="43" priority="5">
      <formula>$B$3="нет"</formula>
    </cfRule>
  </conditionalFormatting>
  <conditionalFormatting sqref="AY26:AZ26">
    <cfRule type="expression" dxfId="42" priority="4">
      <formula>$B$3="нет"</formula>
    </cfRule>
  </conditionalFormatting>
  <conditionalFormatting sqref="V19">
    <cfRule type="expression" dxfId="41" priority="3">
      <formula>$B$3="нет"</formula>
    </cfRule>
  </conditionalFormatting>
  <conditionalFormatting sqref="AM20:AN27">
    <cfRule type="expression" dxfId="40" priority="2">
      <formula>$B$3="нет"</formula>
    </cfRule>
  </conditionalFormatting>
  <conditionalFormatting sqref="AM19:AN19">
    <cfRule type="expression" dxfId="39" priority="1">
      <formula>$B$3="нет"</formula>
    </cfRule>
  </conditionalFormatting>
  <dataValidations count="2">
    <dataValidation type="list" allowBlank="1" showInputMessage="1" showErrorMessage="1" sqref="B125:B128 B130:B133 B135:B138 B115:B118 B120:B123 B19:B59">
      <formula1>Должность</formula1>
    </dataValidation>
    <dataValidation type="list" allowBlank="1" showInputMessage="1" showErrorMessage="1" sqref="B3:B6 E20:E59">
      <formula1>ДаНет</formula1>
    </dataValidation>
  </dataValidations>
  <hyperlinks>
    <hyperlink ref="F5" location="ТИТУЛ!R1C1" display="↑  На титульнфй лист"/>
    <hyperlink ref="F6" location="'ФАКУЛЬТЕТ (КАФЕДРЫ+ДЕКАН)'!R1C1" display="Посмотрнть итоги   →"/>
  </hyperlinks>
  <pageMargins left="0.23622047244094491" right="0.23622047244094491" top="0.35433070866141736" bottom="0.27559055118110237" header="0.31496062992125984" footer="0.31496062992125984"/>
  <pageSetup paperSize="9" scale="25" fitToHeight="0" orientation="landscape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FJ30"/>
  <sheetViews>
    <sheetView zoomScale="80" zoomScaleNormal="80" workbookViewId="0">
      <pane xSplit="2" ySplit="7" topLeftCell="DW20" activePane="bottomRight" state="frozen"/>
      <selection activeCell="B2" sqref="B2"/>
      <selection pane="topRight" activeCell="C2" sqref="C2"/>
      <selection pane="bottomLeft" activeCell="B8" sqref="B8"/>
      <selection pane="bottomRight" activeCell="EG22" sqref="EG22"/>
    </sheetView>
  </sheetViews>
  <sheetFormatPr defaultRowHeight="15" x14ac:dyDescent="0.25"/>
  <cols>
    <col min="1" max="1" width="9.140625" customWidth="1"/>
    <col min="2" max="2" width="57.85546875" customWidth="1"/>
    <col min="3" max="3" width="11.7109375" customWidth="1"/>
    <col min="6" max="8" width="16.7109375" customWidth="1"/>
    <col min="9" max="11" width="16.7109375" style="534" customWidth="1"/>
    <col min="12" max="12" width="16.7109375" customWidth="1"/>
    <col min="13" max="13" width="19.42578125" customWidth="1"/>
    <col min="14" max="14" width="20.5703125" customWidth="1"/>
    <col min="15" max="20" width="16.7109375" customWidth="1"/>
    <col min="21" max="21" width="19.5703125" customWidth="1"/>
    <col min="22" max="22" width="18.28515625" customWidth="1"/>
    <col min="23" max="23" width="16.7109375" customWidth="1"/>
  </cols>
  <sheetData>
    <row r="2" spans="2:23" ht="19.5" x14ac:dyDescent="0.25">
      <c r="B2" s="602"/>
      <c r="C2" s="602"/>
      <c r="D2" s="603"/>
      <c r="E2" s="603"/>
      <c r="F2" s="609" t="s">
        <v>290</v>
      </c>
      <c r="G2" s="601"/>
      <c r="H2" s="601"/>
      <c r="I2" s="601"/>
      <c r="J2" s="601"/>
      <c r="K2" s="601"/>
    </row>
    <row r="3" spans="2:23" ht="18" x14ac:dyDescent="0.25">
      <c r="B3" s="608"/>
      <c r="C3" s="602"/>
      <c r="D3" s="603"/>
      <c r="E3" s="603"/>
      <c r="F3" s="610" t="s">
        <v>214</v>
      </c>
      <c r="G3" s="604"/>
      <c r="H3" s="604"/>
      <c r="I3" s="604"/>
      <c r="J3" s="604"/>
      <c r="K3" s="604"/>
    </row>
    <row r="4" spans="2:23" ht="19.5" x14ac:dyDescent="0.25">
      <c r="B4" s="615" t="s">
        <v>118</v>
      </c>
      <c r="C4" s="616">
        <f>ТИТУЛ!C7</f>
        <v>0</v>
      </c>
      <c r="D4" s="605"/>
      <c r="E4" s="605"/>
      <c r="F4" s="670" t="str">
        <f>ТИТУЛ!$B$22&amp;" квартал "&amp;ТИТУЛ!$D$22&amp;" года"</f>
        <v>2 квартал 2024 года</v>
      </c>
      <c r="G4" s="671"/>
      <c r="H4" s="667"/>
      <c r="I4" s="667"/>
      <c r="J4" s="667"/>
      <c r="K4" s="667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</row>
    <row r="5" spans="2:23" ht="45" customHeight="1" x14ac:dyDescent="0.25">
      <c r="B5" s="615" t="s">
        <v>32</v>
      </c>
      <c r="C5" s="617">
        <f>C13</f>
        <v>0</v>
      </c>
      <c r="D5" s="606"/>
      <c r="E5" s="669"/>
      <c r="F5" s="2376" t="s">
        <v>11</v>
      </c>
      <c r="G5" s="2377"/>
      <c r="H5" s="2377"/>
      <c r="I5" s="2377"/>
      <c r="J5" s="2377"/>
      <c r="K5" s="2378"/>
      <c r="L5" s="2367" t="s">
        <v>9</v>
      </c>
      <c r="M5" s="2368"/>
      <c r="N5" s="2368"/>
      <c r="O5" s="2368"/>
      <c r="P5" s="2368"/>
      <c r="Q5" s="2369"/>
      <c r="R5" s="2370" t="s">
        <v>192</v>
      </c>
      <c r="S5" s="2371"/>
      <c r="T5" s="2371"/>
      <c r="U5" s="2371"/>
      <c r="V5" s="2371"/>
      <c r="W5" s="2372"/>
    </row>
    <row r="6" spans="2:23" ht="123" customHeight="1" x14ac:dyDescent="0.35">
      <c r="B6" s="2366" t="s">
        <v>172</v>
      </c>
      <c r="C6" s="2366"/>
      <c r="D6" s="619"/>
      <c r="E6" s="620">
        <f ca="1">NOW()</f>
        <v>45929.466219097223</v>
      </c>
      <c r="F6" s="2365" t="s">
        <v>453</v>
      </c>
      <c r="G6" s="2365"/>
      <c r="H6" s="2365"/>
      <c r="I6" s="2362" t="s">
        <v>452</v>
      </c>
      <c r="J6" s="2363"/>
      <c r="K6" s="2364"/>
      <c r="L6" s="2373" t="s">
        <v>457</v>
      </c>
      <c r="M6" s="2374"/>
      <c r="N6" s="2375"/>
      <c r="O6" s="2373" t="s">
        <v>458</v>
      </c>
      <c r="P6" s="2374"/>
      <c r="Q6" s="2375"/>
      <c r="R6" s="2373" t="s">
        <v>456</v>
      </c>
      <c r="S6" s="2374"/>
      <c r="T6" s="2375"/>
      <c r="U6" s="2373" t="s">
        <v>459</v>
      </c>
      <c r="V6" s="2374"/>
      <c r="W6" s="2375"/>
    </row>
    <row r="7" spans="2:23" ht="213.75" customHeight="1" x14ac:dyDescent="0.25">
      <c r="B7" s="600" t="s">
        <v>326</v>
      </c>
      <c r="C7" s="612" t="s">
        <v>32</v>
      </c>
      <c r="D7" s="618" t="s">
        <v>327</v>
      </c>
      <c r="E7" s="618" t="s">
        <v>119</v>
      </c>
      <c r="F7" s="640" t="s">
        <v>417</v>
      </c>
      <c r="G7" s="642" t="s">
        <v>418</v>
      </c>
      <c r="H7" s="641" t="s">
        <v>121</v>
      </c>
      <c r="I7" s="640" t="s">
        <v>454</v>
      </c>
      <c r="J7" s="642" t="s">
        <v>455</v>
      </c>
      <c r="K7" s="641" t="s">
        <v>121</v>
      </c>
      <c r="L7" s="647" t="s">
        <v>419</v>
      </c>
      <c r="M7" s="642" t="s">
        <v>420</v>
      </c>
      <c r="N7" s="641" t="s">
        <v>121</v>
      </c>
      <c r="O7" s="647" t="s">
        <v>421</v>
      </c>
      <c r="P7" s="642" t="s">
        <v>422</v>
      </c>
      <c r="Q7" s="641" t="s">
        <v>121</v>
      </c>
      <c r="R7" s="647" t="s">
        <v>423</v>
      </c>
      <c r="S7" s="642" t="s">
        <v>424</v>
      </c>
      <c r="T7" s="641" t="s">
        <v>121</v>
      </c>
      <c r="U7" s="647" t="s">
        <v>425</v>
      </c>
      <c r="V7" s="642" t="s">
        <v>426</v>
      </c>
      <c r="W7" s="641" t="s">
        <v>121</v>
      </c>
    </row>
    <row r="8" spans="2:23" s="599" customFormat="1" x14ac:dyDescent="0.25">
      <c r="B8" s="621"/>
      <c r="C8" s="622"/>
      <c r="D8" s="623"/>
      <c r="E8" s="623"/>
      <c r="F8" s="459"/>
      <c r="G8" s="459"/>
      <c r="H8" s="459"/>
      <c r="I8" s="459"/>
      <c r="J8" s="459"/>
      <c r="K8" s="459"/>
      <c r="L8" s="503"/>
      <c r="M8" s="503"/>
      <c r="N8" s="503"/>
      <c r="O8" s="503"/>
      <c r="P8" s="503"/>
      <c r="Q8" s="503"/>
      <c r="R8" s="503"/>
      <c r="S8" s="503"/>
      <c r="T8" s="503"/>
      <c r="U8" s="503"/>
      <c r="V8" s="503"/>
      <c r="W8" s="503"/>
    </row>
    <row r="9" spans="2:23" s="613" customFormat="1" ht="19.5" x14ac:dyDescent="0.25">
      <c r="B9" s="67" t="s">
        <v>8</v>
      </c>
      <c r="C9" s="624" t="s">
        <v>41</v>
      </c>
      <c r="D9" s="625"/>
      <c r="E9" s="625"/>
      <c r="F9" s="626"/>
      <c r="G9" s="627"/>
      <c r="H9" s="628">
        <v>1</v>
      </c>
      <c r="I9" s="626"/>
      <c r="J9" s="627"/>
      <c r="K9" s="628">
        <v>1</v>
      </c>
      <c r="L9" s="629"/>
      <c r="M9" s="629"/>
      <c r="N9" s="630">
        <v>1</v>
      </c>
      <c r="O9" s="629"/>
      <c r="P9" s="629"/>
      <c r="Q9" s="630">
        <v>1</v>
      </c>
      <c r="R9" s="629"/>
      <c r="S9" s="629"/>
      <c r="T9" s="630">
        <v>1</v>
      </c>
      <c r="U9" s="629"/>
      <c r="V9" s="629"/>
      <c r="W9" s="630">
        <v>1</v>
      </c>
    </row>
    <row r="10" spans="2:23" s="614" customFormat="1" x14ac:dyDescent="0.25">
      <c r="B10" s="71" t="s">
        <v>36</v>
      </c>
      <c r="C10" s="71" t="s">
        <v>42</v>
      </c>
      <c r="D10" s="71"/>
      <c r="E10" s="71"/>
      <c r="F10" s="72">
        <v>1</v>
      </c>
      <c r="G10" s="72">
        <v>1</v>
      </c>
      <c r="H10" s="74">
        <v>100</v>
      </c>
      <c r="I10" s="72">
        <v>1</v>
      </c>
      <c r="J10" s="72">
        <v>1</v>
      </c>
      <c r="K10" s="74">
        <v>100</v>
      </c>
      <c r="L10" s="72">
        <v>1</v>
      </c>
      <c r="M10" s="72">
        <v>1</v>
      </c>
      <c r="N10" s="74">
        <v>100</v>
      </c>
      <c r="O10" s="72">
        <v>1</v>
      </c>
      <c r="P10" s="72">
        <v>1</v>
      </c>
      <c r="Q10" s="74">
        <v>100</v>
      </c>
      <c r="R10" s="72">
        <v>1</v>
      </c>
      <c r="S10" s="72">
        <v>1</v>
      </c>
      <c r="T10" s="74">
        <v>100</v>
      </c>
      <c r="U10" s="72">
        <v>1</v>
      </c>
      <c r="V10" s="72">
        <v>1</v>
      </c>
      <c r="W10" s="74">
        <v>100</v>
      </c>
    </row>
    <row r="11" spans="2:23" s="614" customFormat="1" x14ac:dyDescent="0.25">
      <c r="B11" s="71" t="s">
        <v>36</v>
      </c>
      <c r="C11" s="71" t="s">
        <v>43</v>
      </c>
      <c r="D11" s="71"/>
      <c r="E11" s="71"/>
      <c r="F11" s="72">
        <v>0</v>
      </c>
      <c r="G11" s="72">
        <v>0</v>
      </c>
      <c r="H11" s="74">
        <v>0</v>
      </c>
      <c r="I11" s="72">
        <v>0</v>
      </c>
      <c r="J11" s="72">
        <v>0</v>
      </c>
      <c r="K11" s="74">
        <v>0</v>
      </c>
      <c r="L11" s="72">
        <v>0</v>
      </c>
      <c r="M11" s="72">
        <v>0</v>
      </c>
      <c r="N11" s="74">
        <v>0</v>
      </c>
      <c r="O11" s="72">
        <v>0</v>
      </c>
      <c r="P11" s="72">
        <v>0</v>
      </c>
      <c r="Q11" s="74">
        <v>0</v>
      </c>
      <c r="R11" s="72">
        <v>0</v>
      </c>
      <c r="S11" s="72">
        <v>0</v>
      </c>
      <c r="T11" s="74">
        <v>0</v>
      </c>
      <c r="U11" s="72">
        <v>0</v>
      </c>
      <c r="V11" s="72">
        <v>0</v>
      </c>
      <c r="W11" s="74">
        <v>0</v>
      </c>
    </row>
    <row r="12" spans="2:23" s="599" customFormat="1" x14ac:dyDescent="0.25"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</row>
    <row r="13" spans="2:23" s="632" customFormat="1" x14ac:dyDescent="0.25">
      <c r="B13" s="631" t="s">
        <v>90</v>
      </c>
      <c r="C13" s="158">
        <f>SUM(C$21:C$140)</f>
        <v>0</v>
      </c>
      <c r="D13" s="631"/>
      <c r="E13" s="631" t="s">
        <v>16</v>
      </c>
      <c r="F13" s="631">
        <f>SUM(F14:F21)</f>
        <v>0</v>
      </c>
      <c r="G13" s="631">
        <f t="shared" ref="G13:V13" si="0">SUM(G14:G21)</f>
        <v>0</v>
      </c>
      <c r="H13" s="633" t="str">
        <f t="shared" ref="H13:H21" si="1">IF(G13&gt;0, F13/G13*100, нет)</f>
        <v>нет</v>
      </c>
      <c r="I13" s="631">
        <f>SUM(I14:I21)</f>
        <v>0</v>
      </c>
      <c r="J13" s="631">
        <f>SUM(J14:J21)</f>
        <v>0</v>
      </c>
      <c r="K13" s="633" t="str">
        <f t="shared" ref="K13:K19" si="2">IF(J13&gt;0, I13/J13*100, нет)</f>
        <v>нет</v>
      </c>
      <c r="L13" s="631">
        <f t="shared" si="0"/>
        <v>0</v>
      </c>
      <c r="M13" s="631">
        <f t="shared" si="0"/>
        <v>0</v>
      </c>
      <c r="N13" s="633" t="str">
        <f t="shared" ref="N13:N21" si="3">IF(M13&gt;0, L13/M13*100, нет)</f>
        <v>нет</v>
      </c>
      <c r="O13" s="631">
        <f t="shared" si="0"/>
        <v>0</v>
      </c>
      <c r="P13" s="631">
        <f t="shared" si="0"/>
        <v>0</v>
      </c>
      <c r="Q13" s="633" t="str">
        <f t="shared" ref="Q13:Q21" si="4">IF(P13&gt;0, O13/P13*100, нет)</f>
        <v>нет</v>
      </c>
      <c r="R13" s="631">
        <f t="shared" si="0"/>
        <v>0</v>
      </c>
      <c r="S13" s="631">
        <f t="shared" si="0"/>
        <v>0</v>
      </c>
      <c r="T13" s="633" t="str">
        <f t="shared" ref="T13:T21" si="5">IF(S13&gt;0, R13/S13*100, нет)</f>
        <v>нет</v>
      </c>
      <c r="U13" s="631">
        <f t="shared" si="0"/>
        <v>0</v>
      </c>
      <c r="V13" s="631">
        <f t="shared" si="0"/>
        <v>0</v>
      </c>
      <c r="W13" s="633" t="str">
        <f t="shared" ref="W13:W21" si="6">IF(V13&gt;0, U13/V13*100, нет)</f>
        <v>нет</v>
      </c>
    </row>
    <row r="14" spans="2:23" x14ac:dyDescent="0.25">
      <c r="B14" s="163" t="s">
        <v>321</v>
      </c>
      <c r="C14" s="57">
        <f>ИНСТИТУТ!C20</f>
        <v>0</v>
      </c>
      <c r="D14" s="57" t="s">
        <v>335</v>
      </c>
      <c r="E14" s="57" t="s">
        <v>16</v>
      </c>
      <c r="F14" s="634"/>
      <c r="G14" s="634"/>
      <c r="H14" s="633" t="str">
        <f t="shared" si="1"/>
        <v>нет</v>
      </c>
      <c r="I14" s="638"/>
      <c r="J14" s="638"/>
      <c r="K14" s="633" t="str">
        <f t="shared" si="2"/>
        <v>нет</v>
      </c>
      <c r="L14" s="635"/>
      <c r="M14" s="635"/>
      <c r="N14" s="633" t="str">
        <f t="shared" si="3"/>
        <v>нет</v>
      </c>
      <c r="O14" s="636"/>
      <c r="P14" s="636"/>
      <c r="Q14" s="633" t="str">
        <f t="shared" si="4"/>
        <v>нет</v>
      </c>
      <c r="R14" s="637"/>
      <c r="S14" s="637"/>
      <c r="T14" s="633" t="str">
        <f t="shared" si="5"/>
        <v>нет</v>
      </c>
      <c r="U14" s="638"/>
      <c r="V14" s="638"/>
      <c r="W14" s="633" t="str">
        <f t="shared" si="6"/>
        <v>нет</v>
      </c>
    </row>
    <row r="15" spans="2:23" x14ac:dyDescent="0.25">
      <c r="B15" s="163" t="s">
        <v>322</v>
      </c>
      <c r="C15" s="57">
        <f>ИНСТИТУТ!C21</f>
        <v>0</v>
      </c>
      <c r="D15" s="57" t="s">
        <v>332</v>
      </c>
      <c r="E15" s="57" t="s">
        <v>16</v>
      </c>
      <c r="F15" s="634"/>
      <c r="G15" s="634"/>
      <c r="H15" s="633" t="str">
        <f t="shared" si="1"/>
        <v>нет</v>
      </c>
      <c r="I15" s="638"/>
      <c r="J15" s="638"/>
      <c r="K15" s="633" t="str">
        <f t="shared" si="2"/>
        <v>нет</v>
      </c>
      <c r="L15" s="635"/>
      <c r="M15" s="635"/>
      <c r="N15" s="633" t="str">
        <f t="shared" si="3"/>
        <v>нет</v>
      </c>
      <c r="O15" s="636"/>
      <c r="P15" s="636"/>
      <c r="Q15" s="633" t="str">
        <f t="shared" si="4"/>
        <v>нет</v>
      </c>
      <c r="R15" s="637"/>
      <c r="S15" s="637"/>
      <c r="T15" s="633" t="str">
        <f t="shared" si="5"/>
        <v>нет</v>
      </c>
      <c r="U15" s="638"/>
      <c r="V15" s="638"/>
      <c r="W15" s="633" t="str">
        <f t="shared" si="6"/>
        <v>нет</v>
      </c>
    </row>
    <row r="16" spans="2:23" x14ac:dyDescent="0.25">
      <c r="B16" s="163" t="s">
        <v>323</v>
      </c>
      <c r="C16" s="57">
        <f>ИНСТИТУТ!C22</f>
        <v>0</v>
      </c>
      <c r="D16" s="57" t="s">
        <v>108</v>
      </c>
      <c r="E16" s="57" t="s">
        <v>16</v>
      </c>
      <c r="F16" s="634"/>
      <c r="G16" s="634"/>
      <c r="H16" s="633" t="str">
        <f t="shared" si="1"/>
        <v>нет</v>
      </c>
      <c r="I16" s="638"/>
      <c r="J16" s="638"/>
      <c r="K16" s="633" t="str">
        <f t="shared" si="2"/>
        <v>нет</v>
      </c>
      <c r="L16" s="635"/>
      <c r="M16" s="635"/>
      <c r="N16" s="633" t="str">
        <f t="shared" si="3"/>
        <v>нет</v>
      </c>
      <c r="O16" s="636"/>
      <c r="P16" s="636"/>
      <c r="Q16" s="633" t="str">
        <f t="shared" si="4"/>
        <v>нет</v>
      </c>
      <c r="R16" s="637"/>
      <c r="S16" s="637"/>
      <c r="T16" s="633" t="str">
        <f t="shared" si="5"/>
        <v>нет</v>
      </c>
      <c r="U16" s="638"/>
      <c r="V16" s="638"/>
      <c r="W16" s="633" t="str">
        <f t="shared" si="6"/>
        <v>нет</v>
      </c>
    </row>
    <row r="17" spans="1:166" x14ac:dyDescent="0.25">
      <c r="B17" s="163" t="s">
        <v>324</v>
      </c>
      <c r="C17" s="57">
        <f>ИНСТИТУТ!C23</f>
        <v>0</v>
      </c>
      <c r="D17" s="57" t="s">
        <v>333</v>
      </c>
      <c r="E17" s="57" t="s">
        <v>16</v>
      </c>
      <c r="F17" s="634"/>
      <c r="G17" s="634"/>
      <c r="H17" s="633" t="str">
        <f t="shared" si="1"/>
        <v>нет</v>
      </c>
      <c r="I17" s="638"/>
      <c r="J17" s="638"/>
      <c r="K17" s="633" t="str">
        <f t="shared" si="2"/>
        <v>нет</v>
      </c>
      <c r="L17" s="635"/>
      <c r="M17" s="635"/>
      <c r="N17" s="633" t="str">
        <f t="shared" si="3"/>
        <v>нет</v>
      </c>
      <c r="O17" s="636"/>
      <c r="P17" s="636"/>
      <c r="Q17" s="633" t="str">
        <f t="shared" si="4"/>
        <v>нет</v>
      </c>
      <c r="R17" s="637"/>
      <c r="S17" s="637"/>
      <c r="T17" s="633" t="str">
        <f t="shared" si="5"/>
        <v>нет</v>
      </c>
      <c r="U17" s="638"/>
      <c r="V17" s="638"/>
      <c r="W17" s="633" t="str">
        <f t="shared" si="6"/>
        <v>нет</v>
      </c>
    </row>
    <row r="18" spans="1:166" x14ac:dyDescent="0.25">
      <c r="B18" s="163" t="s">
        <v>325</v>
      </c>
      <c r="C18" s="57">
        <f>ИНСТИТУТ!C24</f>
        <v>0</v>
      </c>
      <c r="D18" s="57" t="s">
        <v>114</v>
      </c>
      <c r="E18" s="57" t="s">
        <v>16</v>
      </c>
      <c r="F18" s="634"/>
      <c r="G18" s="634"/>
      <c r="H18" s="633" t="str">
        <f t="shared" si="1"/>
        <v>нет</v>
      </c>
      <c r="I18" s="638"/>
      <c r="J18" s="638"/>
      <c r="K18" s="633" t="str">
        <f t="shared" si="2"/>
        <v>нет</v>
      </c>
      <c r="L18" s="635"/>
      <c r="M18" s="635"/>
      <c r="N18" s="633" t="str">
        <f t="shared" si="3"/>
        <v>нет</v>
      </c>
      <c r="O18" s="636"/>
      <c r="P18" s="636"/>
      <c r="Q18" s="633" t="str">
        <f t="shared" si="4"/>
        <v>нет</v>
      </c>
      <c r="R18" s="637"/>
      <c r="S18" s="637"/>
      <c r="T18" s="633" t="str">
        <f t="shared" si="5"/>
        <v>нет</v>
      </c>
      <c r="U18" s="638"/>
      <c r="V18" s="638"/>
      <c r="W18" s="633" t="str">
        <f t="shared" si="6"/>
        <v>нет</v>
      </c>
    </row>
    <row r="19" spans="1:166" x14ac:dyDescent="0.25">
      <c r="B19" s="163" t="s">
        <v>316</v>
      </c>
      <c r="C19" s="57">
        <f>ИНСТИТУТ!C25</f>
        <v>0</v>
      </c>
      <c r="D19" s="57" t="s">
        <v>334</v>
      </c>
      <c r="E19" s="57" t="s">
        <v>31</v>
      </c>
      <c r="F19" s="634"/>
      <c r="G19" s="634"/>
      <c r="H19" s="633" t="str">
        <f t="shared" si="1"/>
        <v>нет</v>
      </c>
      <c r="I19" s="638"/>
      <c r="J19" s="638"/>
      <c r="K19" s="633" t="str">
        <f t="shared" si="2"/>
        <v>нет</v>
      </c>
      <c r="L19" s="635"/>
      <c r="M19" s="635"/>
      <c r="N19" s="633" t="str">
        <f t="shared" si="3"/>
        <v>нет</v>
      </c>
      <c r="O19" s="636"/>
      <c r="P19" s="636"/>
      <c r="Q19" s="633" t="str">
        <f t="shared" si="4"/>
        <v>нет</v>
      </c>
      <c r="R19" s="637"/>
      <c r="S19" s="637"/>
      <c r="T19" s="633" t="str">
        <f t="shared" si="5"/>
        <v>нет</v>
      </c>
      <c r="U19" s="638"/>
      <c r="V19" s="638"/>
      <c r="W19" s="633" t="str">
        <f t="shared" si="6"/>
        <v>нет</v>
      </c>
    </row>
    <row r="20" spans="1:166" x14ac:dyDescent="0.25">
      <c r="B20" s="163" t="s">
        <v>403</v>
      </c>
      <c r="C20" s="57">
        <f>ИНСТИТУТ!C26</f>
        <v>0</v>
      </c>
      <c r="D20" s="57" t="s">
        <v>404</v>
      </c>
      <c r="E20" s="57" t="s">
        <v>31</v>
      </c>
      <c r="F20" s="634"/>
      <c r="G20" s="634"/>
      <c r="H20" s="633" t="str">
        <f>IF(G20&gt;0, F20/G20*100, нет)</f>
        <v>нет</v>
      </c>
      <c r="I20" s="638"/>
      <c r="J20" s="638"/>
      <c r="K20" s="633" t="str">
        <f>IF(J20&gt;0, I20/J20*100, нет)</f>
        <v>нет</v>
      </c>
      <c r="L20" s="635"/>
      <c r="M20" s="635"/>
      <c r="N20" s="633" t="str">
        <f t="shared" si="3"/>
        <v>нет</v>
      </c>
      <c r="O20" s="636"/>
      <c r="P20" s="636"/>
      <c r="Q20" s="633" t="str">
        <f t="shared" si="4"/>
        <v>нет</v>
      </c>
      <c r="R20" s="637"/>
      <c r="S20" s="637"/>
      <c r="T20" s="633" t="str">
        <f t="shared" si="5"/>
        <v>нет</v>
      </c>
      <c r="U20" s="638"/>
      <c r="V20" s="638"/>
      <c r="W20" s="633" t="str">
        <f t="shared" si="6"/>
        <v>нет</v>
      </c>
    </row>
    <row r="21" spans="1:166" x14ac:dyDescent="0.25">
      <c r="B21" s="163" t="s">
        <v>177</v>
      </c>
      <c r="C21" s="57">
        <f>ИНСТИТУТ!C27</f>
        <v>0</v>
      </c>
      <c r="D21" s="57" t="s">
        <v>117</v>
      </c>
      <c r="E21" s="57" t="s">
        <v>31</v>
      </c>
      <c r="F21" s="634"/>
      <c r="G21" s="634"/>
      <c r="H21" s="633" t="str">
        <f t="shared" si="1"/>
        <v>нет</v>
      </c>
      <c r="I21" s="638"/>
      <c r="J21" s="638"/>
      <c r="K21" s="633" t="str">
        <f>IF(J21&gt;0, I21/J21*100, нет)</f>
        <v>нет</v>
      </c>
      <c r="L21" s="635"/>
      <c r="M21" s="635"/>
      <c r="N21" s="633" t="str">
        <f t="shared" si="3"/>
        <v>нет</v>
      </c>
      <c r="O21" s="636"/>
      <c r="P21" s="636"/>
      <c r="Q21" s="633" t="str">
        <f t="shared" si="4"/>
        <v>нет</v>
      </c>
      <c r="R21" s="637"/>
      <c r="S21" s="637"/>
      <c r="T21" s="633" t="str">
        <f t="shared" si="5"/>
        <v>нет</v>
      </c>
      <c r="U21" s="638"/>
      <c r="V21" s="638"/>
      <c r="W21" s="633" t="str">
        <f t="shared" si="6"/>
        <v>нет</v>
      </c>
    </row>
    <row r="29" spans="1:166" s="31" customFormat="1" ht="14.25" customHeight="1" x14ac:dyDescent="0.2">
      <c r="A29" s="58" t="s">
        <v>13</v>
      </c>
      <c r="B29" s="58" t="s">
        <v>13</v>
      </c>
      <c r="C29" s="58"/>
      <c r="D29" s="58"/>
      <c r="E29" s="60"/>
      <c r="F29" s="673">
        <f t="shared" ref="F29:K29" si="7">SUM($H$30,$K$30)</f>
        <v>6</v>
      </c>
      <c r="G29" s="673">
        <f t="shared" si="7"/>
        <v>6</v>
      </c>
      <c r="H29" s="673">
        <f t="shared" si="7"/>
        <v>6</v>
      </c>
      <c r="I29" s="673">
        <f t="shared" si="7"/>
        <v>6</v>
      </c>
      <c r="J29" s="673">
        <f t="shared" si="7"/>
        <v>6</v>
      </c>
      <c r="K29" s="673">
        <f t="shared" si="7"/>
        <v>6</v>
      </c>
      <c r="L29" s="673">
        <f t="shared" ref="L29:Q29" si="8">SUM($N$30,$Q$30)</f>
        <v>3</v>
      </c>
      <c r="M29" s="673">
        <f t="shared" si="8"/>
        <v>3</v>
      </c>
      <c r="N29" s="673">
        <f t="shared" si="8"/>
        <v>3</v>
      </c>
      <c r="O29" s="673">
        <f t="shared" si="8"/>
        <v>3</v>
      </c>
      <c r="P29" s="673">
        <f t="shared" si="8"/>
        <v>3</v>
      </c>
      <c r="Q29" s="673">
        <f t="shared" si="8"/>
        <v>3</v>
      </c>
      <c r="R29" s="673">
        <f t="shared" ref="R29:W29" si="9">SUM($T$30,$W$30)</f>
        <v>2</v>
      </c>
      <c r="S29" s="673">
        <f t="shared" si="9"/>
        <v>2</v>
      </c>
      <c r="T29" s="673">
        <f t="shared" si="9"/>
        <v>2</v>
      </c>
      <c r="U29" s="673">
        <f t="shared" si="9"/>
        <v>2</v>
      </c>
      <c r="V29" s="673">
        <f t="shared" si="9"/>
        <v>2</v>
      </c>
      <c r="W29" s="673">
        <f t="shared" si="9"/>
        <v>2</v>
      </c>
      <c r="X29" s="149"/>
      <c r="Y29" s="149"/>
      <c r="Z29" s="149"/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  <c r="AM29" s="149"/>
      <c r="AN29" s="149"/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/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6"/>
      <c r="BQ29" s="146"/>
      <c r="BR29" s="146"/>
      <c r="BS29" s="146"/>
      <c r="BT29" s="146"/>
      <c r="BU29" s="146"/>
      <c r="BV29" s="146"/>
      <c r="BW29" s="146"/>
      <c r="BX29" s="146"/>
      <c r="BY29" s="146"/>
      <c r="BZ29" s="146"/>
      <c r="CA29" s="146"/>
      <c r="CB29" s="146"/>
      <c r="CC29" s="146"/>
      <c r="CD29" s="146"/>
      <c r="CE29" s="146"/>
      <c r="CF29" s="146"/>
      <c r="CG29" s="146"/>
      <c r="CH29" s="146"/>
      <c r="CI29" s="146"/>
      <c r="CJ29" s="146"/>
      <c r="CK29" s="146"/>
      <c r="CL29" s="146"/>
      <c r="CM29" s="146"/>
      <c r="CN29" s="146"/>
      <c r="CO29" s="146"/>
      <c r="CP29" s="146"/>
      <c r="CQ29" s="146"/>
      <c r="CR29" s="146"/>
      <c r="CS29" s="146"/>
      <c r="CT29" s="146"/>
      <c r="CU29" s="672"/>
      <c r="CV29" s="151"/>
      <c r="CW29" s="151"/>
      <c r="CX29" s="152"/>
      <c r="CY29" s="152"/>
      <c r="CZ29" s="152"/>
      <c r="DA29" s="152"/>
      <c r="DB29" s="152"/>
      <c r="DC29" s="152"/>
      <c r="DD29" s="152"/>
      <c r="DE29" s="152"/>
      <c r="DF29" s="152"/>
      <c r="DG29" s="152"/>
      <c r="DH29" s="152"/>
      <c r="DI29" s="152"/>
      <c r="DJ29" s="152"/>
      <c r="DK29" s="152"/>
      <c r="DL29" s="152"/>
      <c r="DM29" s="152"/>
      <c r="DN29" s="152"/>
      <c r="DO29" s="152"/>
      <c r="DP29" s="152"/>
      <c r="DQ29" s="152"/>
      <c r="DR29" s="152"/>
      <c r="DS29" s="152"/>
      <c r="DT29" s="152"/>
      <c r="DU29" s="152"/>
      <c r="DV29" s="152"/>
      <c r="DW29" s="152"/>
      <c r="DX29" s="33"/>
      <c r="EY29" s="33"/>
      <c r="EZ29" s="146"/>
      <c r="FA29" s="146"/>
      <c r="FB29" s="146"/>
      <c r="FC29" s="146"/>
      <c r="FD29" s="146"/>
      <c r="FE29" s="146"/>
      <c r="FF29" s="146"/>
      <c r="FG29" s="146"/>
      <c r="FJ29" s="146"/>
    </row>
    <row r="30" spans="1:166" s="646" customFormat="1" x14ac:dyDescent="0.25">
      <c r="B30" s="654" t="s">
        <v>14</v>
      </c>
      <c r="F30" s="660"/>
      <c r="G30" s="660"/>
      <c r="H30" s="660">
        <v>3</v>
      </c>
      <c r="I30" s="660"/>
      <c r="J30" s="660"/>
      <c r="K30" s="660">
        <v>3</v>
      </c>
      <c r="L30" s="403"/>
      <c r="M30" s="403"/>
      <c r="N30" s="403">
        <v>2</v>
      </c>
      <c r="O30" s="403"/>
      <c r="P30" s="403"/>
      <c r="Q30" s="403">
        <v>1</v>
      </c>
      <c r="T30" s="646">
        <v>1</v>
      </c>
      <c r="W30" s="646">
        <v>1</v>
      </c>
    </row>
  </sheetData>
  <mergeCells count="10">
    <mergeCell ref="B6:C6"/>
    <mergeCell ref="F6:H6"/>
    <mergeCell ref="L5:Q5"/>
    <mergeCell ref="R5:W5"/>
    <mergeCell ref="L6:N6"/>
    <mergeCell ref="O6:Q6"/>
    <mergeCell ref="R6:T6"/>
    <mergeCell ref="U6:W6"/>
    <mergeCell ref="F5:K5"/>
    <mergeCell ref="I6:K6"/>
  </mergeCells>
  <hyperlinks>
    <hyperlink ref="F2" location="ТИТУЛ!R1C1" display="↑  На титульнфй лист"/>
    <hyperlink ref="F3" location="'ФАКУЛЬТЕТ (КАФЕДРЫ+ДЕКАН)'!R1C1" display="Посмотрнть итоги   →"/>
  </hyperlinks>
  <pageMargins left="0.7" right="0.7" top="0.75" bottom="0.75" header="0.3" footer="0.3"/>
  <pageSetup paperSize="9" orientation="portrait" r:id="rId1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4">
    <tabColor rgb="FFFF6600"/>
  </sheetPr>
  <dimension ref="A1:X127"/>
  <sheetViews>
    <sheetView zoomScale="70" zoomScaleNormal="70" workbookViewId="0">
      <pane xSplit="3" ySplit="6" topLeftCell="D88" activePane="bottomRight" state="frozen"/>
      <selection activeCell="X31" sqref="X31"/>
      <selection pane="topRight" activeCell="X31" sqref="X31"/>
      <selection pane="bottomLeft" activeCell="X31" sqref="X31"/>
      <selection pane="bottomRight" activeCell="X31" sqref="X31"/>
    </sheetView>
  </sheetViews>
  <sheetFormatPr defaultColWidth="9.140625" defaultRowHeight="14.25" x14ac:dyDescent="0.2"/>
  <cols>
    <col min="1" max="1" width="5.42578125" style="31" customWidth="1"/>
    <col min="2" max="2" width="16.7109375" style="31" customWidth="1"/>
    <col min="3" max="3" width="40.5703125" style="31" customWidth="1"/>
    <col min="4" max="5" width="20.7109375" style="31" customWidth="1"/>
    <col min="6" max="7" width="20" style="31" customWidth="1"/>
    <col min="8" max="8" width="20.7109375" style="31" customWidth="1"/>
    <col min="9" max="11" width="23.140625" style="31" customWidth="1"/>
    <col min="12" max="12" width="25.7109375" style="31" customWidth="1"/>
    <col min="13" max="13" width="24.7109375" style="31" customWidth="1"/>
    <col min="14" max="14" width="22.140625" style="31" customWidth="1"/>
    <col min="15" max="15" width="24.7109375" style="31" customWidth="1"/>
    <col min="16" max="16" width="16.28515625" style="31" customWidth="1"/>
    <col min="17" max="19" width="1.85546875" style="31" customWidth="1"/>
    <col min="20" max="20" width="20.42578125" style="31" customWidth="1"/>
    <col min="21" max="23" width="11.5703125" style="31" customWidth="1"/>
    <col min="24" max="16384" width="9.140625" style="31"/>
  </cols>
  <sheetData>
    <row r="1" spans="1:23" ht="30" hidden="1" customHeight="1" x14ac:dyDescent="0.2">
      <c r="C1" s="31">
        <v>184</v>
      </c>
      <c r="D1" s="31">
        <v>176</v>
      </c>
      <c r="E1" s="31">
        <v>177</v>
      </c>
      <c r="F1" s="31">
        <v>179</v>
      </c>
      <c r="G1" s="31">
        <v>180</v>
      </c>
      <c r="H1" s="31">
        <v>182</v>
      </c>
      <c r="I1" s="31">
        <v>183</v>
      </c>
      <c r="J1" s="31">
        <v>184</v>
      </c>
      <c r="K1" s="31">
        <v>185</v>
      </c>
      <c r="L1" s="177">
        <v>186</v>
      </c>
      <c r="M1" s="31">
        <v>133</v>
      </c>
      <c r="N1" s="31">
        <v>149</v>
      </c>
      <c r="O1" s="31">
        <v>170</v>
      </c>
      <c r="T1" s="31">
        <v>185</v>
      </c>
      <c r="U1" s="31">
        <v>170</v>
      </c>
      <c r="V1" s="31">
        <v>168</v>
      </c>
      <c r="W1" s="31">
        <v>169</v>
      </c>
    </row>
    <row r="2" spans="1:23" ht="30" hidden="1" customHeight="1" x14ac:dyDescent="0.2">
      <c r="C2" s="31">
        <v>184</v>
      </c>
      <c r="D2" s="31">
        <v>150</v>
      </c>
      <c r="E2" s="31">
        <v>151</v>
      </c>
      <c r="F2" s="31">
        <v>153</v>
      </c>
      <c r="G2" s="31">
        <v>154</v>
      </c>
      <c r="H2" s="31">
        <v>156</v>
      </c>
      <c r="I2" s="31">
        <v>157</v>
      </c>
      <c r="J2" s="31">
        <v>182</v>
      </c>
      <c r="K2" s="31">
        <v>183</v>
      </c>
      <c r="L2" s="177">
        <v>168</v>
      </c>
      <c r="O2" s="31">
        <v>168</v>
      </c>
      <c r="T2" s="31">
        <v>185</v>
      </c>
    </row>
    <row r="3" spans="1:23" s="453" customFormat="1" ht="15" x14ac:dyDescent="0.2">
      <c r="B3" s="31"/>
      <c r="C3" s="387" t="str">
        <f>ТИТУЛ!$B$22&amp;" квартал "&amp;ТИТУЛ!$D$22&amp;" года"</f>
        <v>2 квартал 2024 года</v>
      </c>
      <c r="D3" s="454"/>
      <c r="E3" s="454"/>
      <c r="F3" s="454"/>
      <c r="G3" s="454"/>
      <c r="H3" s="454"/>
      <c r="I3" s="454"/>
      <c r="J3" s="454"/>
      <c r="K3" s="454"/>
      <c r="L3" s="455">
        <f ca="1">NOW()</f>
        <v>45929.466219097223</v>
      </c>
      <c r="M3" s="221"/>
      <c r="N3" s="221"/>
      <c r="O3" s="221">
        <f ca="1">NOW()</f>
        <v>45929.466219097223</v>
      </c>
      <c r="P3" s="221"/>
      <c r="Q3" s="221"/>
      <c r="R3" s="221"/>
      <c r="S3" s="221"/>
      <c r="U3" s="453" t="s">
        <v>41</v>
      </c>
      <c r="V3" s="453" t="s">
        <v>195</v>
      </c>
      <c r="W3" s="453" t="s">
        <v>196</v>
      </c>
    </row>
    <row r="4" spans="1:23" ht="15" x14ac:dyDescent="0.2">
      <c r="C4" s="2379" t="s">
        <v>181</v>
      </c>
      <c r="D4" s="2380" t="s">
        <v>182</v>
      </c>
      <c r="E4" s="2381"/>
      <c r="F4" s="2381"/>
      <c r="G4" s="2381"/>
      <c r="H4" s="2381"/>
      <c r="I4" s="2381"/>
      <c r="J4" s="2381"/>
      <c r="K4" s="2382"/>
      <c r="L4" s="378" t="s">
        <v>199</v>
      </c>
      <c r="M4" s="378"/>
      <c r="N4" s="378"/>
      <c r="O4" s="378"/>
      <c r="P4" s="378"/>
      <c r="Q4" s="222"/>
      <c r="R4" s="222"/>
      <c r="S4" s="222"/>
      <c r="T4" s="183" t="s">
        <v>288</v>
      </c>
    </row>
    <row r="5" spans="1:23" ht="107.25" customHeight="1" x14ac:dyDescent="0.2">
      <c r="C5" s="2379"/>
      <c r="D5" s="699" t="str">
        <f>КАФЕДРА!$G$8</f>
        <v>Учебная и учебно-методическая деятельность</v>
      </c>
      <c r="E5" s="699" t="str">
        <f>КАФЕДРА!$AE$8</f>
        <v>Дополнительное профессиональное образование (Бюджет)</v>
      </c>
      <c r="F5" s="699" t="str">
        <f>ИНСТИТУТ!BP8</f>
        <v>Научная деятельность</v>
      </c>
      <c r="G5" s="699" t="str">
        <f>КАФЕДРА!$AK$8</f>
        <v>Профориентационная и воспитательная деятельность</v>
      </c>
      <c r="H5" s="699" t="str">
        <f>КАФЕДРА!$AR$8</f>
        <v>Деятельность, направленная на экономическую эффективность</v>
      </c>
      <c r="I5" s="699" t="str">
        <f>КАФЕДРА!$BJ$8 &amp; " "&amp;КАФЕДРА!BK6</f>
        <v xml:space="preserve">Деятельность, направленная на работу с кадровым составом кафедры </v>
      </c>
      <c r="J5" s="714" t="str">
        <f>'Реестр ППС'!A4</f>
        <v xml:space="preserve">Реестр ППС кафедр, состоящих в профессиональных сообществах, комиссиях и других коллегиальных органах, внештатные специалисты Министерства здравоохранения Алтайского края </v>
      </c>
      <c r="K5" s="714" t="str">
        <f>' "Вуз зож"'!A5</f>
        <v>Реализация проекта «ВУЗ здорового образа жизни»</v>
      </c>
      <c r="L5" s="223" t="s">
        <v>291</v>
      </c>
      <c r="M5" s="223" t="s">
        <v>341</v>
      </c>
      <c r="N5" s="223" t="s">
        <v>340</v>
      </c>
      <c r="O5" s="223" t="s">
        <v>292</v>
      </c>
      <c r="P5" s="223" t="s">
        <v>231</v>
      </c>
      <c r="Q5" s="224"/>
      <c r="R5" s="224"/>
      <c r="S5" s="224"/>
      <c r="T5" s="183" t="s">
        <v>289</v>
      </c>
    </row>
    <row r="6" spans="1:23" ht="64.5" customHeight="1" x14ac:dyDescent="0.2">
      <c r="C6" s="2379"/>
      <c r="D6" s="223" t="s">
        <v>194</v>
      </c>
      <c r="E6" s="223" t="s">
        <v>194</v>
      </c>
      <c r="F6" s="223" t="s">
        <v>194</v>
      </c>
      <c r="G6" s="223" t="s">
        <v>194</v>
      </c>
      <c r="H6" s="223" t="s">
        <v>194</v>
      </c>
      <c r="I6" s="223" t="s">
        <v>194</v>
      </c>
      <c r="J6" s="223"/>
      <c r="K6" s="223"/>
      <c r="L6" s="223" t="s">
        <v>194</v>
      </c>
      <c r="M6" s="225" t="s">
        <v>41</v>
      </c>
      <c r="N6" s="225" t="s">
        <v>41</v>
      </c>
      <c r="O6" s="743" t="s">
        <v>198</v>
      </c>
      <c r="P6" s="223"/>
      <c r="Q6" s="224"/>
      <c r="R6" s="224"/>
      <c r="S6" s="224"/>
      <c r="T6" s="31" t="s">
        <v>183</v>
      </c>
      <c r="U6" s="31" t="s">
        <v>183</v>
      </c>
      <c r="V6" s="31" t="s">
        <v>183</v>
      </c>
      <c r="W6" s="31" t="s">
        <v>183</v>
      </c>
    </row>
    <row r="7" spans="1:23" ht="15" x14ac:dyDescent="0.2">
      <c r="A7" s="457"/>
      <c r="C7" s="226" t="s">
        <v>498</v>
      </c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  <c r="P7" s="160"/>
      <c r="Q7" s="227"/>
      <c r="R7" s="227"/>
      <c r="S7" s="227"/>
      <c r="T7" s="31" t="s">
        <v>184</v>
      </c>
    </row>
    <row r="8" spans="1:23" ht="33" customHeight="1" x14ac:dyDescent="0.2">
      <c r="A8" s="457">
        <v>30</v>
      </c>
      <c r="B8" s="177">
        <v>40</v>
      </c>
      <c r="C8" s="228" t="str">
        <f>HLOOKUP(C$2,'сумма70+30'!$A$1:$GT$47,$B8,0)</f>
        <v>Институт клинической медицины</v>
      </c>
      <c r="D8" s="229" t="e">
        <f>HLOOKUP(D$2,'сумма70+30'!$A$1:$GT$47,$B8,0)</f>
        <v>#DIV/0!</v>
      </c>
      <c r="E8" s="229" t="e">
        <f>HLOOKUP(E$2,'сумма70+30'!$A$1:$GT$47,$B8,0)</f>
        <v>#DIV/0!</v>
      </c>
      <c r="F8" s="229" t="e">
        <f>HLOOKUP(F$2,'сумма70+30'!$A$1:$GT$47,$B8,0)</f>
        <v>#DIV/0!</v>
      </c>
      <c r="G8" s="229" t="e">
        <f>HLOOKUP(G$2,'сумма70+30'!$A$1:$GT$47,$B8,0)</f>
        <v>#DIV/0!</v>
      </c>
      <c r="H8" s="229" t="e">
        <f>HLOOKUP(H$2,'сумма70+30'!$A$1:$GT$47,$B8,0)</f>
        <v>#DIV/0!</v>
      </c>
      <c r="I8" s="229" t="e">
        <f>HLOOKUP(I$2,'сумма70+30'!$A$1:$GT$47,$B8,0)</f>
        <v>#DIV/0!</v>
      </c>
      <c r="J8" s="229" t="e">
        <f>HLOOKUP(J$2,'сумма70+30'!$A$1:$GT$47,$B8,0)</f>
        <v>#REF!</v>
      </c>
      <c r="K8" s="229">
        <f>HLOOKUP(K$2,'сумма70+30'!$A$1:$GT$47,$B8,0)</f>
        <v>0</v>
      </c>
      <c r="L8" s="229" t="e">
        <f>HLOOKUP(L$2,'сумма70+30'!$A$1:$GT$47,$B8,0)</f>
        <v>#DIV/0!</v>
      </c>
      <c r="M8" s="229"/>
      <c r="N8" s="229"/>
      <c r="O8" s="229" t="e">
        <f>HLOOKUP(O$2,'сумма70+30'!$A$1:$GT$47,$A8,0)+M8+N8</f>
        <v>#DIV/0!</v>
      </c>
      <c r="P8" s="507" t="e">
        <f t="shared" ref="P8:P15" si="0">O8</f>
        <v>#DIV/0!</v>
      </c>
      <c r="Q8" s="227"/>
      <c r="R8" s="227"/>
      <c r="S8" s="227"/>
      <c r="T8" s="228" t="str">
        <f>HLOOKUP(T$2,'сумма70+30'!$A$1:$GT$35,$A8,0)</f>
        <v>КМЕДИЦИНЫ</v>
      </c>
    </row>
    <row r="9" spans="1:23" ht="33" customHeight="1" x14ac:dyDescent="0.2">
      <c r="A9" s="457">
        <v>31</v>
      </c>
      <c r="B9" s="177">
        <v>41</v>
      </c>
      <c r="C9" s="228" t="str">
        <f>HLOOKUP(C$2,'сумма70+30'!$A$1:$GT$47,$B9,0)</f>
        <v>Институт педиатрии</v>
      </c>
      <c r="D9" s="229" t="e">
        <f>HLOOKUP(D$2,'сумма70+30'!$A$1:$GT$47,$B9,0)</f>
        <v>#DIV/0!</v>
      </c>
      <c r="E9" s="229" t="e">
        <f>HLOOKUP(E$2,'сумма70+30'!$A$1:$GT$47,$B9,0)</f>
        <v>#DIV/0!</v>
      </c>
      <c r="F9" s="229" t="e">
        <f>HLOOKUP(F$2,'сумма70+30'!$A$1:$GT$47,$B9,0)</f>
        <v>#DIV/0!</v>
      </c>
      <c r="G9" s="229" t="e">
        <f>HLOOKUP(G$2,'сумма70+30'!$A$1:$GT$47,$B9,0)</f>
        <v>#DIV/0!</v>
      </c>
      <c r="H9" s="229" t="e">
        <f>HLOOKUP(H$2,'сумма70+30'!$A$1:$GT$47,$B9,0)</f>
        <v>#DIV/0!</v>
      </c>
      <c r="I9" s="229" t="e">
        <f>HLOOKUP(I$2,'сумма70+30'!$A$1:$GT$47,$B9,0)</f>
        <v>#DIV/0!</v>
      </c>
      <c r="J9" s="229" t="e">
        <f>HLOOKUP(J$2,'сумма70+30'!$A$1:$GT$47,$B9,0)</f>
        <v>#REF!</v>
      </c>
      <c r="K9" s="229">
        <f>HLOOKUP(K$2,'сумма70+30'!$A$1:$GT$47,$B9,0)</f>
        <v>0</v>
      </c>
      <c r="L9" s="229" t="e">
        <f>HLOOKUP(L$2,'сумма70+30'!$A$1:$GT$47,$B9,0)</f>
        <v>#DIV/0!</v>
      </c>
      <c r="M9" s="229"/>
      <c r="N9" s="229"/>
      <c r="O9" s="229" t="e">
        <f>HLOOKUP(O$2,'сумма70+30'!$A$1:$GT$47,$A9,0)+M9+N9</f>
        <v>#DIV/0!</v>
      </c>
      <c r="P9" s="507" t="e">
        <f t="shared" si="0"/>
        <v>#DIV/0!</v>
      </c>
      <c r="Q9" s="227"/>
      <c r="R9" s="227"/>
      <c r="S9" s="227"/>
      <c r="T9" s="228" t="str">
        <f>HLOOKUP(T$2,'сумма70+30'!$A$1:$GT$35,$A9,0)</f>
        <v>ПЕДИАТРИИ</v>
      </c>
    </row>
    <row r="10" spans="1:23" ht="33" customHeight="1" x14ac:dyDescent="0.2">
      <c r="A10" s="457">
        <v>32</v>
      </c>
      <c r="B10" s="177">
        <v>42</v>
      </c>
      <c r="C10" s="228" t="str">
        <f>HLOOKUP(C$2,'сумма70+30'!$A$1:$GT$47,$B10,0)</f>
        <v>Институт стоматологии</v>
      </c>
      <c r="D10" s="229" t="e">
        <f>HLOOKUP(D$2,'сумма70+30'!$A$1:$GT$47,$B10,0)</f>
        <v>#DIV/0!</v>
      </c>
      <c r="E10" s="229" t="e">
        <f>HLOOKUP(E$2,'сумма70+30'!$A$1:$GT$47,$B10,0)</f>
        <v>#DIV/0!</v>
      </c>
      <c r="F10" s="229" t="e">
        <f>HLOOKUP(F$2,'сумма70+30'!$A$1:$GT$47,$B10,0)</f>
        <v>#DIV/0!</v>
      </c>
      <c r="G10" s="229" t="e">
        <f>HLOOKUP(G$2,'сумма70+30'!$A$1:$GT$47,$B10,0)</f>
        <v>#DIV/0!</v>
      </c>
      <c r="H10" s="229" t="e">
        <f>HLOOKUP(H$2,'сумма70+30'!$A$1:$GT$47,$B10,0)</f>
        <v>#DIV/0!</v>
      </c>
      <c r="I10" s="229" t="e">
        <f>HLOOKUP(I$2,'сумма70+30'!$A$1:$GT$47,$B10,0)</f>
        <v>#DIV/0!</v>
      </c>
      <c r="J10" s="229" t="e">
        <f>HLOOKUP(J$2,'сумма70+30'!$A$1:$GT$47,$B10,0)</f>
        <v>#REF!</v>
      </c>
      <c r="K10" s="229">
        <f>HLOOKUP(K$2,'сумма70+30'!$A$1:$GT$47,$B10,0)</f>
        <v>0</v>
      </c>
      <c r="L10" s="229" t="e">
        <f>HLOOKUP(L$2,'сумма70+30'!$A$1:$GT$47,$B10,0)</f>
        <v>#DIV/0!</v>
      </c>
      <c r="M10" s="229"/>
      <c r="N10" s="873"/>
      <c r="O10" s="229" t="e">
        <f>HLOOKUP(O$2,'сумма70+30'!$A$1:$GT$47,$A10,0)+M10+N10</f>
        <v>#DIV/0!</v>
      </c>
      <c r="P10" s="507" t="e">
        <f t="shared" si="0"/>
        <v>#DIV/0!</v>
      </c>
      <c r="Q10" s="227"/>
      <c r="R10" s="227"/>
      <c r="S10" s="227"/>
      <c r="T10" s="228" t="str">
        <f>HLOOKUP(T$2,'сумма70+30'!$A$1:$GT$35,$A10,0)</f>
        <v>СТОМ</v>
      </c>
    </row>
    <row r="11" spans="1:23" ht="50.25" customHeight="1" x14ac:dyDescent="0.2">
      <c r="A11" s="457">
        <v>33</v>
      </c>
      <c r="B11" s="177">
        <v>43</v>
      </c>
      <c r="C11" s="228" t="str">
        <f>HLOOKUP(C$2,'сумма70+30'!$A$1:$GT$47,$B11,0)</f>
        <v>Институт общественного здоровья и профилактической медицины</v>
      </c>
      <c r="D11" s="229" t="e">
        <f>HLOOKUP(D$2,'сумма70+30'!$A$1:$GT$47,$B11,0)</f>
        <v>#DIV/0!</v>
      </c>
      <c r="E11" s="229" t="e">
        <f>HLOOKUP(E$2,'сумма70+30'!$A$1:$GT$47,$B11,0)</f>
        <v>#DIV/0!</v>
      </c>
      <c r="F11" s="229" t="e">
        <f>HLOOKUP(F$2,'сумма70+30'!$A$1:$GT$47,$B11,0)</f>
        <v>#DIV/0!</v>
      </c>
      <c r="G11" s="229" t="e">
        <f>HLOOKUP(G$2,'сумма70+30'!$A$1:$GT$47,$B11,0)</f>
        <v>#DIV/0!</v>
      </c>
      <c r="H11" s="229" t="e">
        <f>HLOOKUP(H$2,'сумма70+30'!$A$1:$GT$47,$B11,0)</f>
        <v>#DIV/0!</v>
      </c>
      <c r="I11" s="229" t="e">
        <f>HLOOKUP(I$2,'сумма70+30'!$A$1:$GT$47,$B11,0)</f>
        <v>#DIV/0!</v>
      </c>
      <c r="J11" s="229" t="e">
        <f>HLOOKUP(J$2,'сумма70+30'!$A$1:$GT$47,$B11,0)</f>
        <v>#REF!</v>
      </c>
      <c r="K11" s="229">
        <f>HLOOKUP(K$2,'сумма70+30'!$A$1:$GT$47,$B11,0)</f>
        <v>0</v>
      </c>
      <c r="L11" s="229" t="e">
        <f>HLOOKUP(L$2,'сумма70+30'!$A$1:$GT$47,$B11,0)</f>
        <v>#DIV/0!</v>
      </c>
      <c r="M11" s="229"/>
      <c r="N11" s="229"/>
      <c r="O11" s="229" t="e">
        <f>HLOOKUP(O$2,'сумма70+30'!$A$1:$GT$47,$A11,0)+M11+N11</f>
        <v>#DIV/0!</v>
      </c>
      <c r="P11" s="507" t="e">
        <f t="shared" si="0"/>
        <v>#DIV/0!</v>
      </c>
      <c r="Q11" s="227"/>
      <c r="R11" s="227"/>
      <c r="S11" s="227"/>
      <c r="T11" s="228" t="str">
        <f>HLOOKUP(T$2,'сумма70+30'!$A$1:$GT$35,$A11,0)</f>
        <v>ОЗДОРОВЬЯ</v>
      </c>
    </row>
    <row r="12" spans="1:23" ht="33" customHeight="1" x14ac:dyDescent="0.2">
      <c r="A12" s="457">
        <v>34</v>
      </c>
      <c r="B12" s="177">
        <v>44</v>
      </c>
      <c r="C12" s="228" t="str">
        <f>HLOOKUP(C$2,'сумма70+30'!$A$1:$GT$47,$B12,0)</f>
        <v>Институт фармации</v>
      </c>
      <c r="D12" s="229" t="e">
        <f>HLOOKUP(D$2,'сумма70+30'!$A$1:$GT$47,$B12,0)</f>
        <v>#DIV/0!</v>
      </c>
      <c r="E12" s="229" t="e">
        <f>HLOOKUP(E$2,'сумма70+30'!$A$1:$GT$47,$B12,0)</f>
        <v>#DIV/0!</v>
      </c>
      <c r="F12" s="229" t="e">
        <f>HLOOKUP(F$2,'сумма70+30'!$A$1:$GT$47,$B12,0)</f>
        <v>#DIV/0!</v>
      </c>
      <c r="G12" s="229" t="e">
        <f>HLOOKUP(G$2,'сумма70+30'!$A$1:$GT$47,$B12,0)</f>
        <v>#DIV/0!</v>
      </c>
      <c r="H12" s="229" t="e">
        <f>HLOOKUP(H$2,'сумма70+30'!$A$1:$GT$47,$B12,0)</f>
        <v>#DIV/0!</v>
      </c>
      <c r="I12" s="229" t="e">
        <f>HLOOKUP(I$2,'сумма70+30'!$A$1:$GT$47,$B12,0)</f>
        <v>#DIV/0!</v>
      </c>
      <c r="J12" s="229">
        <f>HLOOKUP(J$2,'сумма70+30'!$A$1:$GT$47,$B12,0)</f>
        <v>0</v>
      </c>
      <c r="K12" s="229">
        <f>HLOOKUP(K$2,'сумма70+30'!$A$1:$GT$47,$B12,0)</f>
        <v>0</v>
      </c>
      <c r="L12" s="229" t="e">
        <f>HLOOKUP(L$2,'сумма70+30'!$A$1:$GT$47,$B12,0)</f>
        <v>#DIV/0!</v>
      </c>
      <c r="M12" s="229"/>
      <c r="N12" s="229"/>
      <c r="O12" s="229" t="e">
        <f>HLOOKUP(O$2,'сумма70+30'!$A$1:$GT$47,$A12,0)+M12+N12</f>
        <v>#DIV/0!</v>
      </c>
      <c r="P12" s="507" t="e">
        <f t="shared" si="0"/>
        <v>#DIV/0!</v>
      </c>
      <c r="Q12" s="227"/>
      <c r="R12" s="227"/>
      <c r="S12" s="227"/>
      <c r="T12" s="228" t="str">
        <f>HLOOKUP(T$2,'сумма70+30'!$A$1:$GT$35,$A12,0)</f>
        <v>ФАРМ</v>
      </c>
    </row>
    <row r="13" spans="1:23" ht="33" customHeight="1" x14ac:dyDescent="0.2">
      <c r="A13" s="457">
        <v>35</v>
      </c>
      <c r="B13" s="177">
        <v>45</v>
      </c>
      <c r="C13" s="228" t="str">
        <f>HLOOKUP(C$2,'сумма70+30'!$A$1:$GT$47,$B13,0)</f>
        <v>Институт клинической психологии</v>
      </c>
      <c r="D13" s="229" t="e">
        <f>HLOOKUP(D$2,'сумма70+30'!$A$1:$GT$47,$B13,0)</f>
        <v>#DIV/0!</v>
      </c>
      <c r="E13" s="229" t="e">
        <f>HLOOKUP(E$2,'сумма70+30'!$A$1:$GT$47,$B13,0)</f>
        <v>#DIV/0!</v>
      </c>
      <c r="F13" s="229" t="e">
        <f>HLOOKUP(F$2,'сумма70+30'!$A$1:$GT$47,$B13,0)</f>
        <v>#DIV/0!</v>
      </c>
      <c r="G13" s="229" t="e">
        <f>HLOOKUP(G$2,'сумма70+30'!$A$1:$GT$47,$B13,0)</f>
        <v>#DIV/0!</v>
      </c>
      <c r="H13" s="229" t="e">
        <f>HLOOKUP(H$2,'сумма70+30'!$A$1:$GT$47,$B13,0)</f>
        <v>#DIV/0!</v>
      </c>
      <c r="I13" s="229" t="e">
        <f>HLOOKUP(I$2,'сумма70+30'!$A$1:$GT$47,$B13,0)</f>
        <v>#DIV/0!</v>
      </c>
      <c r="J13" s="229" t="e">
        <f>HLOOKUP(J$2,'сумма70+30'!$A$1:$GT$47,$B13,0)</f>
        <v>#REF!</v>
      </c>
      <c r="K13" s="229">
        <f>HLOOKUP(K$2,'сумма70+30'!$A$1:$GT$47,$B13,0)</f>
        <v>0</v>
      </c>
      <c r="L13" s="229" t="e">
        <f>HLOOKUP(L$2,'сумма70+30'!$A$1:$GT$47,$B13,0)</f>
        <v>#DIV/0!</v>
      </c>
      <c r="M13" s="229"/>
      <c r="N13" s="229"/>
      <c r="O13" s="229" t="e">
        <f>HLOOKUP(O$2,'сумма70+30'!$A$1:$GT$47,$A13,0)+M13+N13</f>
        <v>#DIV/0!</v>
      </c>
      <c r="P13" s="507" t="e">
        <f t="shared" si="0"/>
        <v>#DIV/0!</v>
      </c>
      <c r="Q13" s="227"/>
      <c r="R13" s="227"/>
      <c r="S13" s="227"/>
      <c r="T13" s="228" t="str">
        <f>HLOOKUP(T$2,'сумма70+30'!$A$1:$GT$35,$A13,0)</f>
        <v>КПСИХОЛОГИИ</v>
      </c>
    </row>
    <row r="14" spans="1:23" ht="33" customHeight="1" x14ac:dyDescent="0.2">
      <c r="A14" s="457">
        <v>36</v>
      </c>
      <c r="B14" s="177">
        <v>46</v>
      </c>
      <c r="C14" s="228" t="str">
        <f>HLOOKUP(C$2,'сумма70+30'!$A$1:$GT$47,$B14,0)</f>
        <v>Институт среднего профессионального образования</v>
      </c>
      <c r="D14" s="229" t="e">
        <f>HLOOKUP(D$2,'сумма70+30'!$A$1:$GT$47,$B14,0)</f>
        <v>#DIV/0!</v>
      </c>
      <c r="E14" s="229" t="e">
        <f>HLOOKUP(E$2,'сумма70+30'!$A$1:$GT$47,$B14,0)</f>
        <v>#DIV/0!</v>
      </c>
      <c r="F14" s="229" t="e">
        <f>HLOOKUP(F$2,'сумма70+30'!$A$1:$GT$47,$B14,0)</f>
        <v>#DIV/0!</v>
      </c>
      <c r="G14" s="229" t="e">
        <f>HLOOKUP(G$2,'сумма70+30'!$A$1:$GT$47,$B14,0)</f>
        <v>#DIV/0!</v>
      </c>
      <c r="H14" s="229" t="e">
        <f>HLOOKUP(H$2,'сумма70+30'!$A$1:$GT$47,$B14,0)</f>
        <v>#DIV/0!</v>
      </c>
      <c r="I14" s="229" t="e">
        <f>HLOOKUP(I$2,'сумма70+30'!$A$1:$GT$47,$B14,0)</f>
        <v>#DIV/0!</v>
      </c>
      <c r="J14" s="229" t="e">
        <f>HLOOKUP(J$2,'сумма70+30'!$A$1:$GT$47,$B14,0)</f>
        <v>#REF!</v>
      </c>
      <c r="K14" s="229">
        <f>HLOOKUP(K$2,'сумма70+30'!$A$1:$GT$47,$B14,0)</f>
        <v>0</v>
      </c>
      <c r="L14" s="229" t="e">
        <f>HLOOKUP(L$2,'сумма70+30'!$A$1:$GT$47,$B14,0)</f>
        <v>#DIV/0!</v>
      </c>
      <c r="M14" s="229"/>
      <c r="N14" s="229"/>
      <c r="O14" s="229" t="e">
        <f>HLOOKUP(O$2,'сумма70+30'!$A$1:$GT$47,$A14,0)+M14+N14</f>
        <v>#DIV/0!</v>
      </c>
      <c r="P14" s="507" t="e">
        <f>IF(O14&gt;100,100,O14)</f>
        <v>#DIV/0!</v>
      </c>
      <c r="Q14" s="227"/>
      <c r="R14" s="227"/>
      <c r="S14" s="227"/>
      <c r="T14" s="228" t="str">
        <f>HLOOKUP(T$2,'сумма70+30'!$A$1:$GT$37,$A14,0)</f>
        <v>СПО</v>
      </c>
    </row>
    <row r="15" spans="1:23" ht="33" customHeight="1" x14ac:dyDescent="0.2">
      <c r="A15" s="457">
        <v>37</v>
      </c>
      <c r="B15" s="177">
        <v>47</v>
      </c>
      <c r="C15" s="228" t="str">
        <f>HLOOKUP(C$2,'сумма70+30'!$A$1:$GT$47,$B15,0)</f>
        <v>Факультет иностранных студентов</v>
      </c>
      <c r="D15" s="229" t="e">
        <f>HLOOKUP(D$2,'сумма70+30'!$A$1:$GT$47,$B15,0)</f>
        <v>#DIV/0!</v>
      </c>
      <c r="E15" s="229" t="e">
        <f>HLOOKUP(E$2,'сумма70+30'!$A$1:$GT$47,$B15,0)</f>
        <v>#DIV/0!</v>
      </c>
      <c r="F15" s="229" t="e">
        <f>HLOOKUP(F$2,'сумма70+30'!$A$1:$GT$47,$B15,0)</f>
        <v>#DIV/0!</v>
      </c>
      <c r="G15" s="229" t="e">
        <f>HLOOKUP(G$2,'сумма70+30'!$A$1:$GT$47,$B15,0)</f>
        <v>#DIV/0!</v>
      </c>
      <c r="H15" s="229" t="e">
        <f>HLOOKUP(H$2,'сумма70+30'!$A$1:$GT$47,$B15,0)</f>
        <v>#DIV/0!</v>
      </c>
      <c r="I15" s="229" t="e">
        <f>HLOOKUP(I$2,'сумма70+30'!$A$1:$GT$47,$B15,0)</f>
        <v>#DIV/0!</v>
      </c>
      <c r="J15" s="229">
        <f>HLOOKUP(J$2,'сумма70+30'!$A$1:$GT$47,$B15,0)</f>
        <v>0</v>
      </c>
      <c r="K15" s="229">
        <f>HLOOKUP(K$2,'сумма70+30'!$A$1:$GT$47,$B15,0)</f>
        <v>0</v>
      </c>
      <c r="L15" s="229" t="e">
        <f>HLOOKUP(L$2,'сумма70+30'!$A$1:$GT$47,$B15,0)</f>
        <v>#DIV/0!</v>
      </c>
      <c r="M15" s="229"/>
      <c r="N15" s="229"/>
      <c r="O15" s="229" t="e">
        <f>HLOOKUP(O$2,'сумма70+30'!$A$1:$GT$47,$A15,0)+M15+N15</f>
        <v>#DIV/0!</v>
      </c>
      <c r="P15" s="507" t="e">
        <f t="shared" si="0"/>
        <v>#DIV/0!</v>
      </c>
      <c r="Q15" s="227"/>
      <c r="R15" s="227"/>
      <c r="S15" s="227"/>
      <c r="T15" s="228" t="str">
        <f>HLOOKUP(T$2,'сумма70+30'!$A$1:$GT$37,$A15,0)</f>
        <v>ФИС</v>
      </c>
    </row>
    <row r="16" spans="1:23" ht="14.25" customHeight="1" x14ac:dyDescent="0.2">
      <c r="C16" s="160"/>
      <c r="D16" s="160"/>
      <c r="E16" s="160"/>
      <c r="F16" s="160"/>
      <c r="G16" s="160"/>
      <c r="H16" s="160"/>
      <c r="I16" s="160"/>
      <c r="J16" s="160"/>
      <c r="K16" s="160"/>
      <c r="L16" s="160"/>
      <c r="M16" s="160"/>
      <c r="N16" s="160"/>
      <c r="O16" s="160"/>
      <c r="P16" s="392"/>
      <c r="Q16" s="227"/>
      <c r="R16" s="227"/>
      <c r="S16" s="227"/>
    </row>
    <row r="17" spans="1:23" ht="15" x14ac:dyDescent="0.2">
      <c r="A17" s="457"/>
      <c r="C17" s="226" t="s">
        <v>339</v>
      </c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392"/>
      <c r="Q17" s="227"/>
      <c r="R17" s="227"/>
      <c r="S17" s="227"/>
      <c r="T17" s="31" t="s">
        <v>147</v>
      </c>
    </row>
    <row r="18" spans="1:23" ht="33" customHeight="1" x14ac:dyDescent="0.2">
      <c r="A18" s="457"/>
      <c r="B18" s="31">
        <v>20</v>
      </c>
      <c r="C18" s="230" t="str">
        <f>HLOOKUP(C$1,ИНСТИТУТ!$DS$1:$EQ$27,$B18,0)</f>
        <v>Институт клинической медицины</v>
      </c>
      <c r="D18" s="231" t="e">
        <f>HLOOKUP(D$1,ИНСТИТУТ!$DS$1:$EQ$27,$B18,0)</f>
        <v>#DIV/0!</v>
      </c>
      <c r="E18" s="231" t="e">
        <f>HLOOKUP(E$1,ИНСТИТУТ!$DS$1:$EQ$27,$B18,0)</f>
        <v>#DIV/0!</v>
      </c>
      <c r="F18" s="231" t="e">
        <f>HLOOKUP(F$1,ИНСТИТУТ!$DS$1:$EQ$27,$B18,0)</f>
        <v>#DIV/0!</v>
      </c>
      <c r="G18" s="231" t="e">
        <f>HLOOKUP(G$1,ИНСТИТУТ!$DS$1:$EQ$27,$B18,0)</f>
        <v>#DIV/0!</v>
      </c>
      <c r="H18" s="231" t="e">
        <f>HLOOKUP(H$1,ИНСТИТУТ!$DS$1:$EQ$27,$B18,0)</f>
        <v>#DIV/0!</v>
      </c>
      <c r="I18" s="231" t="e">
        <f>HLOOKUP(I$1,ИНСТИТУТ!$DS$1:$EQ$27,$B18,0)</f>
        <v>#DIV/0!</v>
      </c>
      <c r="J18" s="229">
        <v>0</v>
      </c>
      <c r="K18" s="229">
        <v>0</v>
      </c>
      <c r="L18" s="231" t="e">
        <f>HLOOKUP(L$1,ИНСТИТУТ!$DS$1:$EQ$27,$B18,0)</f>
        <v>#DIV/0!</v>
      </c>
      <c r="M18" s="231"/>
      <c r="N18" s="231"/>
      <c r="O18" s="231" t="s">
        <v>184</v>
      </c>
      <c r="P18" s="390"/>
      <c r="Q18" s="227"/>
      <c r="R18" s="227"/>
      <c r="S18" s="227"/>
      <c r="T18" s="230" t="str">
        <f>HLOOKUP(T$1,ИНСТИТУТ!$DS$1:$EQ$27,$B18,0)</f>
        <v>КМЕДИЦИНЫ</v>
      </c>
    </row>
    <row r="19" spans="1:23" ht="33" customHeight="1" x14ac:dyDescent="0.2">
      <c r="A19" s="457"/>
      <c r="B19" s="31">
        <v>21</v>
      </c>
      <c r="C19" s="230" t="str">
        <f>HLOOKUP(C$1,ИНСТИТУТ!$DS$1:$EQ$27,$B19,0)</f>
        <v>Институт педиатрии</v>
      </c>
      <c r="D19" s="231" t="e">
        <f>HLOOKUP(D$1,ИНСТИТУТ!$DS$1:$EQ$27,$B19,0)</f>
        <v>#DIV/0!</v>
      </c>
      <c r="E19" s="231" t="e">
        <f>HLOOKUP(E$1,ИНСТИТУТ!$DS$1:$EQ$27,$B19,0)</f>
        <v>#DIV/0!</v>
      </c>
      <c r="F19" s="231" t="e">
        <f>HLOOKUP(F$1,ИНСТИТУТ!$DS$1:$EQ$27,$B19,0)</f>
        <v>#DIV/0!</v>
      </c>
      <c r="G19" s="231" t="e">
        <f>HLOOKUP(G$1,ИНСТИТУТ!$DS$1:$EQ$27,$B19,0)</f>
        <v>#DIV/0!</v>
      </c>
      <c r="H19" s="231" t="e">
        <f>HLOOKUP(H$1,ИНСТИТУТ!$DS$1:$EQ$27,$B19,0)</f>
        <v>#DIV/0!</v>
      </c>
      <c r="I19" s="231" t="e">
        <f>HLOOKUP(I$1,ИНСТИТУТ!$DS$1:$EQ$27,$B19,0)</f>
        <v>#DIV/0!</v>
      </c>
      <c r="J19" s="229">
        <v>0</v>
      </c>
      <c r="K19" s="229">
        <v>0</v>
      </c>
      <c r="L19" s="231" t="e">
        <f>HLOOKUP(L$1,ИНСТИТУТ!$DS$1:$EQ$27,$B19,0)</f>
        <v>#DIV/0!</v>
      </c>
      <c r="M19" s="231"/>
      <c r="N19" s="231"/>
      <c r="O19" s="231" t="s">
        <v>184</v>
      </c>
      <c r="P19" s="390"/>
      <c r="Q19" s="227"/>
      <c r="R19" s="227"/>
      <c r="S19" s="227"/>
      <c r="T19" s="230" t="str">
        <f>HLOOKUP(T$1,ИНСТИТУТ!$DS$1:$EQ$27,$B19,0)</f>
        <v>ПЕДИАТРИИ</v>
      </c>
    </row>
    <row r="20" spans="1:23" ht="33" customHeight="1" x14ac:dyDescent="0.2">
      <c r="A20" s="457"/>
      <c r="B20" s="31">
        <v>22</v>
      </c>
      <c r="C20" s="230" t="str">
        <f>HLOOKUP(C$1,ИНСТИТУТ!$DS$1:$EQ$27,$B20,0)</f>
        <v>Институт стоматологии</v>
      </c>
      <c r="D20" s="231" t="e">
        <f>HLOOKUP(D$1,ИНСТИТУТ!$DS$1:$EQ$27,$B20,0)</f>
        <v>#DIV/0!</v>
      </c>
      <c r="E20" s="231" t="e">
        <f>HLOOKUP(E$1,ИНСТИТУТ!$DS$1:$EQ$27,$B20,0)</f>
        <v>#DIV/0!</v>
      </c>
      <c r="F20" s="231" t="e">
        <f>HLOOKUP(F$1,ИНСТИТУТ!$DS$1:$EQ$27,$B20,0)</f>
        <v>#DIV/0!</v>
      </c>
      <c r="G20" s="231" t="e">
        <f>HLOOKUP(G$1,ИНСТИТУТ!$DS$1:$EQ$27,$B20,0)</f>
        <v>#DIV/0!</v>
      </c>
      <c r="H20" s="231" t="e">
        <f>HLOOKUP(H$1,ИНСТИТУТ!$DS$1:$EQ$27,$B20,0)</f>
        <v>#DIV/0!</v>
      </c>
      <c r="I20" s="231" t="e">
        <f>HLOOKUP(I$1,ИНСТИТУТ!$DS$1:$EQ$27,$B20,0)</f>
        <v>#DIV/0!</v>
      </c>
      <c r="J20" s="229">
        <v>0</v>
      </c>
      <c r="K20" s="229">
        <v>0</v>
      </c>
      <c r="L20" s="231" t="e">
        <f>HLOOKUP(L$1,ИНСТИТУТ!$DS$1:$EQ$27,$B20,0)</f>
        <v>#DIV/0!</v>
      </c>
      <c r="M20" s="231"/>
      <c r="N20" s="231"/>
      <c r="O20" s="231" t="s">
        <v>184</v>
      </c>
      <c r="P20" s="390"/>
      <c r="Q20" s="227"/>
      <c r="R20" s="227"/>
      <c r="S20" s="227"/>
      <c r="T20" s="230" t="str">
        <f>HLOOKUP(T$1,ИНСТИТУТ!$DS$1:$EQ$27,$B20,0)</f>
        <v>СТОМ</v>
      </c>
    </row>
    <row r="21" spans="1:23" ht="50.25" customHeight="1" x14ac:dyDescent="0.2">
      <c r="A21" s="457"/>
      <c r="B21" s="31">
        <v>23</v>
      </c>
      <c r="C21" s="230" t="str">
        <f>HLOOKUP(C$1,ИНСТИТУТ!$DS$1:$EQ$27,$B21,0)</f>
        <v>Институт общественного здоровья и профилактической медицины</v>
      </c>
      <c r="D21" s="231" t="e">
        <f>HLOOKUP(D$1,ИНСТИТУТ!$DS$1:$EQ$27,$B21,0)</f>
        <v>#DIV/0!</v>
      </c>
      <c r="E21" s="231" t="e">
        <f>HLOOKUP(E$1,ИНСТИТУТ!$DS$1:$EQ$27,$B21,0)</f>
        <v>#DIV/0!</v>
      </c>
      <c r="F21" s="231" t="e">
        <f>HLOOKUP(F$1,ИНСТИТУТ!$DS$1:$EQ$27,$B21,0)</f>
        <v>#DIV/0!</v>
      </c>
      <c r="G21" s="231" t="e">
        <f>HLOOKUP(G$1,ИНСТИТУТ!$DS$1:$EQ$27,$B21,0)</f>
        <v>#DIV/0!</v>
      </c>
      <c r="H21" s="231" t="e">
        <f>HLOOKUP(H$1,ИНСТИТУТ!$DS$1:$EQ$27,$B21,0)</f>
        <v>#DIV/0!</v>
      </c>
      <c r="I21" s="231" t="e">
        <f>HLOOKUP(I$1,ИНСТИТУТ!$DS$1:$EQ$27,$B21,0)</f>
        <v>#DIV/0!</v>
      </c>
      <c r="J21" s="229">
        <v>0</v>
      </c>
      <c r="K21" s="229">
        <v>0</v>
      </c>
      <c r="L21" s="231" t="e">
        <f>HLOOKUP(L$1,ИНСТИТУТ!$DS$1:$EQ$27,$B21,0)</f>
        <v>#DIV/0!</v>
      </c>
      <c r="M21" s="231"/>
      <c r="N21" s="231"/>
      <c r="O21" s="231" t="s">
        <v>184</v>
      </c>
      <c r="P21" s="390"/>
      <c r="Q21" s="227"/>
      <c r="R21" s="227"/>
      <c r="S21" s="227"/>
      <c r="T21" s="230" t="str">
        <f>HLOOKUP(T$1,ИНСТИТУТ!$DS$1:$EQ$27,$B21,0)</f>
        <v>ОЗДОРОВЬЯ</v>
      </c>
    </row>
    <row r="22" spans="1:23" ht="33" customHeight="1" x14ac:dyDescent="0.2">
      <c r="A22" s="457"/>
      <c r="B22" s="31">
        <v>24</v>
      </c>
      <c r="C22" s="230" t="str">
        <f>HLOOKUP(C$1,ИНСТИТУТ!$DS$1:$EQ$27,$B22,0)</f>
        <v>Институт фармации</v>
      </c>
      <c r="D22" s="231" t="e">
        <f>HLOOKUP(D$1,ИНСТИТУТ!$DS$1:$EQ$27,$B22,0)</f>
        <v>#DIV/0!</v>
      </c>
      <c r="E22" s="231" t="e">
        <f>HLOOKUP(E$1,ИНСТИТУТ!$DS$1:$EQ$27,$B22,0)</f>
        <v>#DIV/0!</v>
      </c>
      <c r="F22" s="231" t="e">
        <f>HLOOKUP(F$1,ИНСТИТУТ!$DS$1:$EQ$27,$B22,0)</f>
        <v>#DIV/0!</v>
      </c>
      <c r="G22" s="231" t="e">
        <f>HLOOKUP(G$1,ИНСТИТУТ!$DS$1:$EQ$27,$B22,0)</f>
        <v>#DIV/0!</v>
      </c>
      <c r="H22" s="231" t="e">
        <f>HLOOKUP(H$1,ИНСТИТУТ!$DS$1:$EQ$27,$B22,0)</f>
        <v>#DIV/0!</v>
      </c>
      <c r="I22" s="231" t="e">
        <f>HLOOKUP(I$1,ИНСТИТУТ!$DS$1:$EQ$27,$B22,0)</f>
        <v>#DIV/0!</v>
      </c>
      <c r="J22" s="229">
        <v>0</v>
      </c>
      <c r="K22" s="229">
        <v>0</v>
      </c>
      <c r="L22" s="231" t="e">
        <f>HLOOKUP(L$1,ИНСТИТУТ!$DS$1:$EQ$27,$B22,0)</f>
        <v>#DIV/0!</v>
      </c>
      <c r="M22" s="231"/>
      <c r="N22" s="231"/>
      <c r="O22" s="231" t="s">
        <v>184</v>
      </c>
      <c r="P22" s="390"/>
      <c r="Q22" s="227"/>
      <c r="R22" s="227"/>
      <c r="S22" s="227"/>
      <c r="T22" s="230" t="str">
        <f>HLOOKUP(T$1,ИНСТИТУТ!$DS$1:$EQ$27,$B22,0)</f>
        <v>ФАРМ</v>
      </c>
    </row>
    <row r="23" spans="1:23" ht="33" customHeight="1" x14ac:dyDescent="0.2">
      <c r="A23" s="457"/>
      <c r="B23" s="31">
        <v>25</v>
      </c>
      <c r="C23" s="230" t="str">
        <f>HLOOKUP(C$1,ИНСТИТУТ!$DS$1:$EQ$27,$B23,0)</f>
        <v>Институт клинической психологии</v>
      </c>
      <c r="D23" s="231" t="e">
        <f>HLOOKUP(D$1,ИНСТИТУТ!$DS$1:$EQ$27,$B23,0)</f>
        <v>#DIV/0!</v>
      </c>
      <c r="E23" s="231" t="e">
        <f>HLOOKUP(E$1,ИНСТИТУТ!$DS$1:$EQ$27,$B23,0)</f>
        <v>#DIV/0!</v>
      </c>
      <c r="F23" s="231" t="e">
        <f>HLOOKUP(F$1,ИНСТИТУТ!$DS$1:$EQ$27,$B23,0)</f>
        <v>#DIV/0!</v>
      </c>
      <c r="G23" s="231" t="e">
        <f>HLOOKUP(G$1,ИНСТИТУТ!$DS$1:$EQ$27,$B23,0)</f>
        <v>#DIV/0!</v>
      </c>
      <c r="H23" s="231" t="e">
        <f>HLOOKUP(H$1,ИНСТИТУТ!$DS$1:$EQ$27,$B23,0)</f>
        <v>#DIV/0!</v>
      </c>
      <c r="I23" s="231" t="e">
        <f>HLOOKUP(I$1,ИНСТИТУТ!$DS$1:$EQ$27,$B23,0)</f>
        <v>#DIV/0!</v>
      </c>
      <c r="J23" s="229">
        <v>0</v>
      </c>
      <c r="K23" s="229">
        <v>0</v>
      </c>
      <c r="L23" s="231" t="e">
        <f>HLOOKUP(L$1,ИНСТИТУТ!$DS$1:$EQ$27,$B23,0)</f>
        <v>#DIV/0!</v>
      </c>
      <c r="M23" s="231"/>
      <c r="N23" s="231"/>
      <c r="O23" s="231" t="s">
        <v>184</v>
      </c>
      <c r="P23" s="390"/>
      <c r="Q23" s="227"/>
      <c r="R23" s="227"/>
      <c r="S23" s="227"/>
      <c r="T23" s="230" t="str">
        <f>HLOOKUP(T$1,ИНСТИТУТ!$DS$1:$EQ$27,$B23,0)</f>
        <v>КПСИХОЛОГИИ</v>
      </c>
    </row>
    <row r="24" spans="1:23" ht="33" customHeight="1" x14ac:dyDescent="0.2">
      <c r="A24" s="457"/>
      <c r="B24" s="31">
        <v>26</v>
      </c>
      <c r="C24" s="230" t="str">
        <f>HLOOKUP(C$1,ИНСТИТУТ!$DS$1:$EQ$27,$B24,0)</f>
        <v>Институт среднего профессионального образования</v>
      </c>
      <c r="D24" s="546" t="e">
        <f>HLOOKUP(D$1,ИНСТИТУТ!$DS$1:$EQ$27,$B24,0)</f>
        <v>#DIV/0!</v>
      </c>
      <c r="E24" s="546" t="e">
        <f>HLOOKUP(E$1,ИНСТИТУТ!$DS$1:$EQ$27,$B24,0)</f>
        <v>#DIV/0!</v>
      </c>
      <c r="F24" s="546" t="e">
        <f>HLOOKUP(F$1,ИНСТИТУТ!$DS$1:$EQ$27,$B24,0)</f>
        <v>#DIV/0!</v>
      </c>
      <c r="G24" s="546" t="e">
        <f>HLOOKUP(G$1,ИНСТИТУТ!$DS$1:$EQ$27,$B24,0)</f>
        <v>#DIV/0!</v>
      </c>
      <c r="H24" s="546" t="e">
        <f>HLOOKUP(H$1,ИНСТИТУТ!$DS$1:$EQ$27,$B24,0)</f>
        <v>#DIV/0!</v>
      </c>
      <c r="I24" s="546" t="e">
        <f>HLOOKUP(I$1,ИНСТИТУТ!$DS$1:$EQ$27,$B24,0)</f>
        <v>#DIV/0!</v>
      </c>
      <c r="J24" s="229">
        <v>0</v>
      </c>
      <c r="K24" s="229">
        <v>0</v>
      </c>
      <c r="L24" s="546" t="e">
        <f>HLOOKUP(L$1,ИНСТИТУТ!$DS$1:$EQ$27,$B24,0)</f>
        <v>#DIV/0!</v>
      </c>
      <c r="M24" s="546"/>
      <c r="N24" s="546"/>
      <c r="O24" s="546" t="s">
        <v>184</v>
      </c>
      <c r="P24" s="412"/>
      <c r="Q24" s="227"/>
      <c r="R24" s="227"/>
      <c r="S24" s="227"/>
      <c r="T24" s="230" t="str">
        <f>HLOOKUP(T$1,ИНСТИТУТ!$DS$1:$EQ$27,$B24,0)</f>
        <v>СПО</v>
      </c>
    </row>
    <row r="25" spans="1:23" ht="33" customHeight="1" x14ac:dyDescent="0.2">
      <c r="A25" s="457"/>
      <c r="B25" s="31">
        <v>27</v>
      </c>
      <c r="C25" s="230" t="str">
        <f>HLOOKUP(C$1,ИНСТИТУТ!$DS$1:$EQ$27,$B25,0)</f>
        <v>Факультет иностранных студентов</v>
      </c>
      <c r="D25" s="231" t="e">
        <f>HLOOKUP(D$1,ИНСТИТУТ!$DS$1:$EQ$27,$B25,0)</f>
        <v>#DIV/0!</v>
      </c>
      <c r="E25" s="231" t="e">
        <f>HLOOKUP(E$1,ИНСТИТУТ!$DS$1:$EQ$27,$B25,0)</f>
        <v>#DIV/0!</v>
      </c>
      <c r="F25" s="231" t="e">
        <f>HLOOKUP(F$1,ИНСТИТУТ!$DS$1:$EQ$27,$B25,0)</f>
        <v>#DIV/0!</v>
      </c>
      <c r="G25" s="231" t="e">
        <f>HLOOKUP(G$1,ИНСТИТУТ!$DS$1:$EQ$27,$B25,0)</f>
        <v>#DIV/0!</v>
      </c>
      <c r="H25" s="231" t="e">
        <f>HLOOKUP(H$1,ИНСТИТУТ!$DS$1:$EQ$27,$B25,0)</f>
        <v>#DIV/0!</v>
      </c>
      <c r="I25" s="231" t="e">
        <f>HLOOKUP(I$1,ИНСТИТУТ!$DS$1:$EQ$27,$B25,0)</f>
        <v>#DIV/0!</v>
      </c>
      <c r="J25" s="229">
        <v>0</v>
      </c>
      <c r="K25" s="229">
        <v>0</v>
      </c>
      <c r="L25" s="231" t="e">
        <f>HLOOKUP(L$1,ИНСТИТУТ!$DS$1:$EQ$27,$B25,0)</f>
        <v>#DIV/0!</v>
      </c>
      <c r="M25" s="231"/>
      <c r="N25" s="231"/>
      <c r="O25" s="231" t="s">
        <v>184</v>
      </c>
      <c r="P25" s="412"/>
      <c r="Q25" s="227"/>
      <c r="R25" s="227"/>
      <c r="S25" s="227"/>
      <c r="T25" s="230" t="str">
        <f>HLOOKUP(T$1,ИНСТИТУТ!$DS$1:$EQ$27,$B25,0)</f>
        <v>ФИС</v>
      </c>
    </row>
    <row r="26" spans="1:23" ht="15" x14ac:dyDescent="0.2">
      <c r="A26" s="457"/>
      <c r="C26" s="226" t="s">
        <v>328</v>
      </c>
      <c r="D26" s="160"/>
      <c r="E26" s="160"/>
      <c r="F26" s="160"/>
      <c r="G26" s="160"/>
      <c r="H26" s="160"/>
      <c r="I26" s="160"/>
      <c r="J26" s="160"/>
      <c r="K26" s="160"/>
      <c r="L26" s="160"/>
      <c r="M26" s="160"/>
      <c r="N26" s="160"/>
      <c r="O26" s="160"/>
      <c r="P26" s="392"/>
      <c r="Q26" s="227"/>
      <c r="R26" s="227"/>
      <c r="S26" s="227"/>
      <c r="T26" s="31" t="s">
        <v>184</v>
      </c>
    </row>
    <row r="27" spans="1:23" ht="33" customHeight="1" x14ac:dyDescent="0.2">
      <c r="A27" s="457"/>
      <c r="B27" s="31">
        <v>20</v>
      </c>
      <c r="C27" s="230" t="str">
        <f>HLOOKUP(C$1,'ИНСТИТУТ (СУММА КАФЕДР)'!$DD$1:$DZ$27,$B27,0)</f>
        <v>Институт клинической медицины</v>
      </c>
      <c r="D27" s="231" t="e">
        <f>HLOOKUP(D$1,'ИНСТИТУТ (СУММА КАФЕДР)'!$DD$1:$DZ$27,$B27,0)</f>
        <v>#DIV/0!</v>
      </c>
      <c r="E27" s="231" t="e">
        <f>HLOOKUP(E$1,'ИНСТИТУТ (СУММА КАФЕДР)'!$DD$1:$DZ$27,$B27,0)</f>
        <v>#DIV/0!</v>
      </c>
      <c r="F27" s="231" t="str">
        <f>HLOOKUP(F$1,'ИНСТИТУТ (СУММА КАФЕДР)'!$DD$1:$DZ$27,$B27,0)</f>
        <v>0,0%
=0,0/23,0</v>
      </c>
      <c r="G27" s="231" t="e">
        <f>HLOOKUP(G$1,'ИНСТИТУТ (СУММА КАФЕДР)'!$DD$1:$DZ$27,$B27,0)</f>
        <v>#DIV/0!</v>
      </c>
      <c r="H27" s="231" t="e">
        <f>HLOOKUP(H$1,'ИНСТИТУТ (СУММА КАФЕДР)'!$DD$1:$DZ$27,$B27,0)</f>
        <v>#DIV/0!</v>
      </c>
      <c r="I27" s="231" t="e">
        <f>HLOOKUP(I$1,'ИНСТИТУТ (СУММА КАФЕДР)'!$DD$1:$DZ$27,$B27,0)</f>
        <v>#DIV/0!</v>
      </c>
      <c r="J27" s="639" t="e">
        <f>HLOOKUP(J$1,'«ВУЗ-РЕГИОН»(кафедры)'!$W$1:$Y$74,$B18,0)</f>
        <v>#REF!</v>
      </c>
      <c r="K27" s="639">
        <f>HLOOKUP(K$1,' "Вуз зож" (кафедры)'!$S$1:$U$74,$B18,0)</f>
        <v>0</v>
      </c>
      <c r="L27" s="231" t="e">
        <f>HLOOKUP(L$1,'ИНСТИТУТ (СУММА КАФЕДР)'!$DD$1:$DZ$27,$B27,0)</f>
        <v>#DIV/0!</v>
      </c>
      <c r="M27" s="229">
        <f>'сумма70+30'!AB20</f>
        <v>3</v>
      </c>
      <c r="N27" s="876">
        <f>'сумма70+30'!AC20</f>
        <v>0</v>
      </c>
      <c r="O27" s="876" t="e">
        <f t="array" ref="O27">'сумма70+30'!AD20:AD25</f>
        <v>#DIV/0!</v>
      </c>
      <c r="P27" s="390"/>
      <c r="Q27" s="227"/>
      <c r="R27" s="227"/>
      <c r="S27" s="227"/>
      <c r="T27" s="230" t="str">
        <f>HLOOKUP(T$1,'ИНСТИТУТ (СУММА КАФЕДР)'!$DD$1:$DZ$27,$B27,0)</f>
        <v>КМЕДИЦИНЫ</v>
      </c>
      <c r="U27" s="161" t="e">
        <f>HLOOKUP(U$1,'ИНСТИТУТ (СУММА КАФЕДР)'!$CO$1:$DZ$27,$B27,0)</f>
        <v>#DIV/0!</v>
      </c>
      <c r="V27" s="161" t="e">
        <f>HLOOKUP(V$1,'ИНСТИТУТ (СУММА КАФЕДР)'!$CO$1:$DZ$27,$B27,0)</f>
        <v>#DIV/0!</v>
      </c>
      <c r="W27" s="161" t="e">
        <f>HLOOKUP(W$1,'ИНСТИТУТ (СУММА КАФЕДР)'!$CO$1:$DZ$27,$B27,0)</f>
        <v>#DIV/0!</v>
      </c>
    </row>
    <row r="28" spans="1:23" ht="33" customHeight="1" x14ac:dyDescent="0.2">
      <c r="A28" s="457"/>
      <c r="B28" s="31">
        <v>21</v>
      </c>
      <c r="C28" s="230" t="str">
        <f>HLOOKUP(C$1,'ИНСТИТУТ (СУММА КАФЕДР)'!$DD$1:$DZ$27,$B28,0)</f>
        <v>Институт педиатрии</v>
      </c>
      <c r="D28" s="231" t="e">
        <f>HLOOKUP(D$1,'ИНСТИТУТ (СУММА КАФЕДР)'!$DD$1:$DZ$27,$B28,0)</f>
        <v>#DIV/0!</v>
      </c>
      <c r="E28" s="231" t="e">
        <f t="array" ref="E28">HLOOKUP(E$1,'ИНСТИТУТ (СУММА КАФЕДР)'!$DD$1:$DZ$27,$B28,0)</f>
        <v>#DIV/0!</v>
      </c>
      <c r="F28" s="231" t="str">
        <f>HLOOKUP(F$1,'ИНСТИТУТ (СУММА КАФЕДР)'!$DD$1:$DZ$27,$B28,0)</f>
        <v>0,0%
=0,0/23,0</v>
      </c>
      <c r="G28" s="231" t="e">
        <f>HLOOKUP(G$1,'ИНСТИТУТ (СУММА КАФЕДР)'!$DD$1:$DZ$27,$B28,0)</f>
        <v>#DIV/0!</v>
      </c>
      <c r="H28" s="231" t="e">
        <f>HLOOKUP(H$1,'ИНСТИТУТ (СУММА КАФЕДР)'!$DD$1:$DZ$27,$B28,0)</f>
        <v>#DIV/0!</v>
      </c>
      <c r="I28" s="231" t="e">
        <f>HLOOKUP(I$1,'ИНСТИТУТ (СУММА КАФЕДР)'!$DD$1:$DZ$27,$B28,0)</f>
        <v>#DIV/0!</v>
      </c>
      <c r="J28" s="639" t="e">
        <f>HLOOKUP(J$1,'«ВУЗ-РЕГИОН»(кафедры)'!$W$1:$Y$74,$B19,0)</f>
        <v>#REF!</v>
      </c>
      <c r="K28" s="639">
        <f>HLOOKUP(K$1,' "Вуз зож" (кафедры)'!$S$1:$U$74,$B19,0)</f>
        <v>0</v>
      </c>
      <c r="L28" s="231" t="e">
        <f>HLOOKUP(L$1,'ИНСТИТУТ (СУММА КАФЕДР)'!$DD$1:$DZ$27,$B28,0)</f>
        <v>#DIV/0!</v>
      </c>
      <c r="M28" s="229">
        <f>'сумма70+30'!AB21</f>
        <v>1.3636363636363635</v>
      </c>
      <c r="N28" s="876">
        <f>'сумма70+30'!AC21</f>
        <v>0</v>
      </c>
      <c r="O28" s="876" t="e">
        <f t="array" ref="O28">'сумма70+30'!AD21:AD26</f>
        <v>#DIV/0!</v>
      </c>
      <c r="P28" s="390"/>
      <c r="Q28" s="227"/>
      <c r="R28" s="227"/>
      <c r="S28" s="227"/>
      <c r="T28" s="230" t="str">
        <f>HLOOKUP(T$1,'ИНСТИТУТ (СУММА КАФЕДР)'!$DD$1:$DZ$27,$B28,0)</f>
        <v>ПЕДИАТРИИ</v>
      </c>
      <c r="U28" s="161" t="e">
        <f>HLOOKUP(U$1,'ИНСТИТУТ (СУММА КАФЕДР)'!$CO$1:$DZ$27,$B28,0)</f>
        <v>#DIV/0!</v>
      </c>
      <c r="V28" s="161" t="e">
        <f>HLOOKUP(V$1,'ИНСТИТУТ (СУММА КАФЕДР)'!$CO$1:$DZ$27,$B28,0)</f>
        <v>#DIV/0!</v>
      </c>
      <c r="W28" s="161" t="e">
        <f>HLOOKUP(W$1,'ИНСТИТУТ (СУММА КАФЕДР)'!$CO$1:$DZ$27,$B28,0)</f>
        <v>#DIV/0!</v>
      </c>
    </row>
    <row r="29" spans="1:23" ht="33" customHeight="1" x14ac:dyDescent="0.2">
      <c r="A29" s="457"/>
      <c r="B29" s="31">
        <v>22</v>
      </c>
      <c r="C29" s="230" t="str">
        <f>HLOOKUP(C$1,'ИНСТИТУТ (СУММА КАФЕДР)'!$DD$1:$DZ$27,$B29,0)</f>
        <v>Институт стоматологии</v>
      </c>
      <c r="D29" s="231" t="e">
        <f>HLOOKUP(D$1,'ИНСТИТУТ (СУММА КАФЕДР)'!$DD$1:$DZ$27,$B29,0)</f>
        <v>#DIV/0!</v>
      </c>
      <c r="E29" s="231" t="e">
        <f>HLOOKUP(E$1,'ИНСТИТУТ (СУММА КАФЕДР)'!$DD$1:$DZ$27,$B29,0)</f>
        <v>#DIV/0!</v>
      </c>
      <c r="F29" s="231" t="str">
        <f>HLOOKUP(F$1,'ИНСТИТУТ (СУММА КАФЕДР)'!$DD$1:$DZ$27,$B29,0)</f>
        <v>0,0%
=0,0/23,0</v>
      </c>
      <c r="G29" s="231" t="e">
        <f>HLOOKUP(G$1,'ИНСТИТУТ (СУММА КАФЕДР)'!$DD$1:$DZ$27,$B29,0)</f>
        <v>#DIV/0!</v>
      </c>
      <c r="H29" s="231" t="e">
        <f>HLOOKUP(H$1,'ИНСТИТУТ (СУММА КАФЕДР)'!$DD$1:$DZ$27,$B29,0)</f>
        <v>#DIV/0!</v>
      </c>
      <c r="I29" s="231" t="e">
        <f>HLOOKUP(I$1,'ИНСТИТУТ (СУММА КАФЕДР)'!$DD$1:$DZ$27,$B29,0)</f>
        <v>#DIV/0!</v>
      </c>
      <c r="J29" s="639" t="e">
        <f>HLOOKUP(J$1,'«ВУЗ-РЕГИОН»(кафедры)'!$W$1:$Y$74,$B20,0)</f>
        <v>#REF!</v>
      </c>
      <c r="K29" s="639">
        <f>HLOOKUP(K$1,' "Вуз зож" (кафедры)'!$S$1:$U$74,$B20,0)</f>
        <v>0</v>
      </c>
      <c r="L29" s="231" t="e">
        <f>HLOOKUP(L$1,'ИНСТИТУТ (СУММА КАФЕДР)'!$DD$1:$DZ$27,$B29,0)</f>
        <v>#DIV/0!</v>
      </c>
      <c r="M29" s="229">
        <f>'сумма70+30'!AB22</f>
        <v>0.4</v>
      </c>
      <c r="N29" s="876">
        <f>'сумма70+30'!AC22</f>
        <v>0</v>
      </c>
      <c r="O29" s="876" t="e">
        <f t="array" ref="O29">'сумма70+30'!AD22:AD27</f>
        <v>#DIV/0!</v>
      </c>
      <c r="P29" s="390"/>
      <c r="Q29" s="227"/>
      <c r="R29" s="227"/>
      <c r="S29" s="227"/>
      <c r="T29" s="230" t="str">
        <f>HLOOKUP(T$1,'ИНСТИТУТ (СУММА КАФЕДР)'!$DD$1:$DZ$27,$B29,0)</f>
        <v>СТОМ</v>
      </c>
      <c r="U29" s="161" t="e">
        <f>HLOOKUP(U$1,'ИНСТИТУТ (СУММА КАФЕДР)'!$CO$1:$DZ$27,$B29,0)</f>
        <v>#DIV/0!</v>
      </c>
      <c r="V29" s="161" t="e">
        <f>HLOOKUP(V$1,'ИНСТИТУТ (СУММА КАФЕДР)'!$CO$1:$DZ$27,$B29,0)</f>
        <v>#DIV/0!</v>
      </c>
      <c r="W29" s="161" t="e">
        <f>HLOOKUP(W$1,'ИНСТИТУТ (СУММА КАФЕДР)'!$CO$1:$DZ$27,$B29,0)</f>
        <v>#DIV/0!</v>
      </c>
    </row>
    <row r="30" spans="1:23" ht="50.25" customHeight="1" x14ac:dyDescent="0.2">
      <c r="A30" s="457"/>
      <c r="B30" s="31">
        <v>23</v>
      </c>
      <c r="C30" s="230" t="str">
        <f>HLOOKUP(C$1,'ИНСТИТУТ (СУММА КАФЕДР)'!$DD$1:$DZ$27,$B30,0)</f>
        <v>Институт общественного здоровья и профилактической медицины</v>
      </c>
      <c r="D30" s="231" t="e">
        <f>HLOOKUP(D$1,'ИНСТИТУТ (СУММА КАФЕДР)'!$DD$1:$DZ$27,$B30,0)</f>
        <v>#DIV/0!</v>
      </c>
      <c r="E30" s="231" t="e">
        <f>HLOOKUP(E$1,'ИНСТИТУТ (СУММА КАФЕДР)'!$DD$1:$DZ$27,$B30,0)</f>
        <v>#DIV/0!</v>
      </c>
      <c r="F30" s="231" t="str">
        <f>HLOOKUP(F$1,'ИНСТИТУТ (СУММА КАФЕДР)'!$DD$1:$DZ$27,$B30,0)</f>
        <v>0,0%
=0,0/23,0</v>
      </c>
      <c r="G30" s="231" t="e">
        <f>HLOOKUP(G$1,'ИНСТИТУТ (СУММА КАФЕДР)'!$DD$1:$DZ$27,$B30,0)</f>
        <v>#DIV/0!</v>
      </c>
      <c r="H30" s="231" t="e">
        <f>HLOOKUP(H$1,'ИНСТИТУТ (СУММА КАФЕДР)'!$DD$1:$DZ$27,$B30,0)</f>
        <v>#DIV/0!</v>
      </c>
      <c r="I30" s="231" t="e">
        <f>HLOOKUP(I$1,'ИНСТИТУТ (СУММА КАФЕДР)'!$DD$1:$DZ$27,$B30,0)</f>
        <v>#DIV/0!</v>
      </c>
      <c r="J30" s="639" t="e">
        <f>HLOOKUP(J$1,'«ВУЗ-РЕГИОН»(кафедры)'!$W$1:$Y$74,$B21,0)</f>
        <v>#REF!</v>
      </c>
      <c r="K30" s="639">
        <f>HLOOKUP(K$1,' "Вуз зож" (кафедры)'!$S$1:$U$74,$B21,0)</f>
        <v>0</v>
      </c>
      <c r="L30" s="231" t="e">
        <f>HLOOKUP(L$1,'ИНСТИТУТ (СУММА КАФЕДР)'!$DD$1:$DZ$27,$B30,0)</f>
        <v>#DIV/0!</v>
      </c>
      <c r="M30" s="229">
        <f>'сумма70+30'!AB23</f>
        <v>0.4</v>
      </c>
      <c r="N30" s="876">
        <f>'сумма70+30'!AC23</f>
        <v>-0.3</v>
      </c>
      <c r="O30" s="876" t="e">
        <f t="array" ref="O30">'сумма70+30'!AD23:AD28</f>
        <v>#DIV/0!</v>
      </c>
      <c r="P30" s="390"/>
      <c r="Q30" s="227"/>
      <c r="R30" s="227"/>
      <c r="S30" s="227"/>
      <c r="T30" s="230" t="str">
        <f>HLOOKUP(T$1,'ИНСТИТУТ (СУММА КАФЕДР)'!$DD$1:$DZ$27,$B30,0)</f>
        <v>ОЗДОРОВЬЯ</v>
      </c>
      <c r="U30" s="161" t="e">
        <f>HLOOKUP(U$1,'ИНСТИТУТ (СУММА КАФЕДР)'!$CO$1:$DZ$27,$B30,0)</f>
        <v>#DIV/0!</v>
      </c>
      <c r="V30" s="161" t="e">
        <f>HLOOKUP(V$1,'ИНСТИТУТ (СУММА КАФЕДР)'!$CO$1:$DZ$27,$B30,0)</f>
        <v>#DIV/0!</v>
      </c>
      <c r="W30" s="161" t="e">
        <f>HLOOKUP(W$1,'ИНСТИТУТ (СУММА КАФЕДР)'!$CO$1:$DZ$27,$B30,0)</f>
        <v>#DIV/0!</v>
      </c>
    </row>
    <row r="31" spans="1:23" ht="33" customHeight="1" x14ac:dyDescent="0.2">
      <c r="A31" s="457"/>
      <c r="B31" s="31">
        <v>24</v>
      </c>
      <c r="C31" s="230" t="str">
        <f>HLOOKUP(C$1,'ИНСТИТУТ (СУММА КАФЕДР)'!$DD$1:$DZ$27,$B31,0)</f>
        <v>Институт фармации</v>
      </c>
      <c r="D31" s="231" t="e">
        <f>HLOOKUP(D$1,'ИНСТИТУТ (СУММА КАФЕДР)'!$DD$1:$DZ$27,$B31,0)</f>
        <v>#DIV/0!</v>
      </c>
      <c r="E31" s="231" t="e">
        <f>HLOOKUP(E$1,'ИНСТИТУТ (СУММА КАФЕДР)'!$DD$1:$DZ$27,$B31,0)</f>
        <v>#DIV/0!</v>
      </c>
      <c r="F31" s="231" t="str">
        <f>HLOOKUP(F$1,'ИНСТИТУТ (СУММА КАФЕДР)'!$DD$1:$DZ$27,$B31,0)</f>
        <v>0,0%
=0,0/23,0</v>
      </c>
      <c r="G31" s="231" t="e">
        <f>HLOOKUP(G$1,'ИНСТИТУТ (СУММА КАФЕДР)'!$DD$1:$DZ$27,$B31,0)</f>
        <v>#DIV/0!</v>
      </c>
      <c r="H31" s="231" t="e">
        <f>HLOOKUP(H$1,'ИНСТИТУТ (СУММА КАФЕДР)'!$DD$1:$DZ$27,$B31,0)</f>
        <v>#DIV/0!</v>
      </c>
      <c r="I31" s="231" t="e">
        <f>HLOOKUP(I$1,'ИНСТИТУТ (СУММА КАФЕДР)'!$DD$1:$DZ$27,$B31,0)</f>
        <v>#DIV/0!</v>
      </c>
      <c r="J31" s="639" t="e">
        <f>HLOOKUP(J$1,'«ВУЗ-РЕГИОН»(кафедры)'!$W$1:$Y$74,$B22,0)</f>
        <v>#REF!</v>
      </c>
      <c r="K31" s="639">
        <f>HLOOKUP(K$1,' "Вуз зож" (кафедры)'!$S$1:$U$74,$B22,0)</f>
        <v>0</v>
      </c>
      <c r="L31" s="231" t="e">
        <f>HLOOKUP(L$1,'ИНСТИТУТ (СУММА КАФЕДР)'!$DD$1:$DZ$27,$B31,0)</f>
        <v>#DIV/0!</v>
      </c>
      <c r="M31" s="229">
        <f>'сумма70+30'!AB24</f>
        <v>0.4</v>
      </c>
      <c r="N31" s="876">
        <f>'сумма70+30'!AC24</f>
        <v>0</v>
      </c>
      <c r="O31" s="876" t="e">
        <f t="array" ref="O31">'сумма70+30'!AD24:AD29</f>
        <v>#DIV/0!</v>
      </c>
      <c r="P31" s="390"/>
      <c r="Q31" s="227"/>
      <c r="R31" s="227"/>
      <c r="S31" s="227"/>
      <c r="T31" s="230" t="str">
        <f>HLOOKUP(T$1,'ИНСТИТУТ (СУММА КАФЕДР)'!$DD$1:$DZ$27,$B31,0)</f>
        <v>ФАРМ</v>
      </c>
      <c r="U31" s="161" t="e">
        <f>HLOOKUP(U$1,'ИНСТИТУТ (СУММА КАФЕДР)'!$CO$1:$DZ$27,$B31,0)</f>
        <v>#DIV/0!</v>
      </c>
      <c r="V31" s="161" t="e">
        <f>HLOOKUP(V$1,'ИНСТИТУТ (СУММА КАФЕДР)'!$CO$1:$DZ$27,$B31,0)</f>
        <v>#DIV/0!</v>
      </c>
      <c r="W31" s="161" t="e">
        <f>HLOOKUP(W$1,'ИНСТИТУТ (СУММА КАФЕДР)'!$CO$1:$DZ$27,$B31,0)</f>
        <v>#DIV/0!</v>
      </c>
    </row>
    <row r="32" spans="1:23" ht="33" customHeight="1" x14ac:dyDescent="0.2">
      <c r="A32" s="457"/>
      <c r="B32" s="31">
        <v>25</v>
      </c>
      <c r="C32" s="230" t="str">
        <f>HLOOKUP(C$1,'ИНСТИТУТ (СУММА КАФЕДР)'!$DD$1:$DZ$27,$B32,0)</f>
        <v>Институт клинической психологии</v>
      </c>
      <c r="D32" s="231" t="e">
        <f>HLOOKUP(D$1,'ИНСТИТУТ (СУММА КАФЕДР)'!$DD$1:$DZ$27,$B32,0)</f>
        <v>#DIV/0!</v>
      </c>
      <c r="E32" s="231" t="e">
        <f>HLOOKUP(E$1,'ИНСТИТУТ (СУММА КАФЕДР)'!$DD$1:$DZ$27,$B32,0)</f>
        <v>#DIV/0!</v>
      </c>
      <c r="F32" s="231" t="str">
        <f>HLOOKUP(F$1,'ИНСТИТУТ (СУММА КАФЕДР)'!$DD$1:$DZ$27,$B32,0)</f>
        <v>0,0%
=0,0/23,0</v>
      </c>
      <c r="G32" s="231" t="e">
        <f>HLOOKUP(G$1,'ИНСТИТУТ (СУММА КАФЕДР)'!$DD$1:$DZ$27,$B32,0)</f>
        <v>#DIV/0!</v>
      </c>
      <c r="H32" s="231" t="e">
        <f>HLOOKUP(H$1,'ИНСТИТУТ (СУММА КАФЕДР)'!$DD$1:$DZ$27,$B32,0)</f>
        <v>#DIV/0!</v>
      </c>
      <c r="I32" s="231" t="e">
        <f>HLOOKUP(I$1,'ИНСТИТУТ (СУММА КАФЕДР)'!$DD$1:$DZ$27,$B32,0)</f>
        <v>#DIV/0!</v>
      </c>
      <c r="J32" s="639" t="e">
        <f>HLOOKUP(J$1,'«ВУЗ-РЕГИОН»(кафедры)'!$W$1:$Y$74,$B23,0)</f>
        <v>#REF!</v>
      </c>
      <c r="K32" s="639">
        <f>HLOOKUP(K$1,' "Вуз зож" (кафедры)'!$S$1:$U$74,$B23,0)</f>
        <v>0</v>
      </c>
      <c r="L32" s="231" t="e">
        <f>HLOOKUP(L$1,'ИНСТИТУТ (СУММА КАФЕДР)'!$DD$1:$DZ$27,$B32,0)</f>
        <v>#DIV/0!</v>
      </c>
      <c r="M32" s="229">
        <f>'сумма70+30'!AB25</f>
        <v>0</v>
      </c>
      <c r="N32" s="876">
        <f>'сумма70+30'!AC25</f>
        <v>0</v>
      </c>
      <c r="O32" s="876" t="e">
        <f t="array" ref="O32">'сумма70+30'!AD25:AD30</f>
        <v>#DIV/0!</v>
      </c>
      <c r="P32" s="390"/>
      <c r="Q32" s="227"/>
      <c r="R32" s="227"/>
      <c r="S32" s="227"/>
      <c r="T32" s="230" t="str">
        <f>HLOOKUP(T$1,'ИНСТИТУТ (СУММА КАФЕДР)'!$DD$1:$DZ$27,$B32,0)</f>
        <v>КПСИХОЛОГИИ</v>
      </c>
      <c r="U32" s="161" t="e">
        <f>HLOOKUP(U$1,'ИНСТИТУТ (СУММА КАФЕДР)'!$CO$1:$DZ$27,$B32,0)</f>
        <v>#DIV/0!</v>
      </c>
      <c r="V32" s="161" t="e">
        <f>HLOOKUP(V$1,'ИНСТИТУТ (СУММА КАФЕДР)'!$CO$1:$DZ$27,$B32,0)</f>
        <v>#DIV/0!</v>
      </c>
      <c r="W32" s="161" t="e">
        <f>HLOOKUP(W$1,'ИНСТИТУТ (СУММА КАФЕДР)'!$CO$1:$DZ$27,$B32,0)</f>
        <v>#DIV/0!</v>
      </c>
    </row>
    <row r="33" spans="1:23" ht="33" customHeight="1" x14ac:dyDescent="0.2">
      <c r="A33" s="457"/>
      <c r="B33" s="31">
        <v>26</v>
      </c>
      <c r="C33" s="230" t="str">
        <f>HLOOKUP(C$1,'ИНСТИТУТ (СУММА КАФЕДР)'!$DD$1:$DZ$27,$B33,0)</f>
        <v>Институт среднего профессионального образования</v>
      </c>
      <c r="D33" s="231" t="e">
        <f>HLOOKUP(D$1,'ИНСТИТУТ (СУММА КАФЕДР)'!$DD$1:$DZ$27,$B33,0)</f>
        <v>#DIV/0!</v>
      </c>
      <c r="E33" s="231" t="e">
        <f>HLOOKUP(E$1,'ИНСТИТУТ (СУММА КАФЕДР)'!$DD$1:$DZ$27,$B33,0)</f>
        <v>#DIV/0!</v>
      </c>
      <c r="F33" s="231" t="str">
        <f>HLOOKUP(F$1,'ИНСТИТУТ (СУММА КАФЕДР)'!$DD$1:$DZ$27,$B33,0)</f>
        <v>0,0%
=0,0/23,0</v>
      </c>
      <c r="G33" s="231" t="e">
        <f>HLOOKUP(G$1,'ИНСТИТУТ (СУММА КАФЕДР)'!$DD$1:$DZ$27,$B33,0)</f>
        <v>#DIV/0!</v>
      </c>
      <c r="H33" s="231" t="e">
        <f>HLOOKUP(H$1,'ИНСТИТУТ (СУММА КАФЕДР)'!$DD$1:$DZ$27,$B33,0)</f>
        <v>#DIV/0!</v>
      </c>
      <c r="I33" s="231" t="e">
        <f>HLOOKUP(I$1,'ИНСТИТУТ (СУММА КАФЕДР)'!$DD$1:$DZ$27,$B33,0)</f>
        <v>#DIV/0!</v>
      </c>
      <c r="J33" s="639" t="e">
        <f>HLOOKUP(J$1,'«ВУЗ-РЕГИОН»(кафедры)'!$W$1:$Y$74,$B24,0)</f>
        <v>#REF!</v>
      </c>
      <c r="K33" s="639">
        <f>HLOOKUP(K$1,' "Вуз зож" (кафедры)'!$S$1:$U$74,$B24,0)</f>
        <v>0</v>
      </c>
      <c r="L33" s="231" t="e">
        <f>HLOOKUP(L$1,'ИНСТИТУТ (СУММА КАФЕДР)'!$DD$1:$DZ$27,$B33,0)</f>
        <v>#DIV/0!</v>
      </c>
      <c r="M33" s="229">
        <f>'сумма70+30'!AB26</f>
        <v>0</v>
      </c>
      <c r="N33" s="876">
        <f>'сумма70+30'!AC26</f>
        <v>0</v>
      </c>
      <c r="O33" s="876" t="e">
        <f t="array" ref="O33">'сумма70+30'!AD26:AD31</f>
        <v>#DIV/0!</v>
      </c>
      <c r="P33" s="412"/>
      <c r="Q33" s="227"/>
      <c r="R33" s="227"/>
      <c r="S33" s="227"/>
      <c r="T33" s="230" t="str">
        <f>HLOOKUP(T$1,'ИНСТИТУТ (СУММА КАФЕДР)'!$DD$1:$DZ$27,$B33,0)</f>
        <v>СПО</v>
      </c>
      <c r="U33" s="161" t="e">
        <f>HLOOKUP(U$1,'ИНСТИТУТ (СУММА КАФЕДР)'!$CO$1:$DZ$27,$B33,0)</f>
        <v>#DIV/0!</v>
      </c>
      <c r="V33" s="161" t="e">
        <f>HLOOKUP(V$1,'ИНСТИТУТ (СУММА КАФЕДР)'!$CO$1:$DZ$27,$B33,0)</f>
        <v>#DIV/0!</v>
      </c>
      <c r="W33" s="161" t="e">
        <f>HLOOKUP(W$1,'ИНСТИТУТ (СУММА КАФЕДР)'!$CO$1:$DZ$27,$B33,0)</f>
        <v>#DIV/0!</v>
      </c>
    </row>
    <row r="34" spans="1:23" ht="30" x14ac:dyDescent="0.2">
      <c r="B34" s="31">
        <v>27</v>
      </c>
      <c r="C34" s="230" t="str">
        <f>HLOOKUP(C$1,'ИНСТИТУТ (СУММА КАФЕДР)'!$DD$1:$DZ$27,$B34,0)</f>
        <v>Факультет иностранных студентов</v>
      </c>
      <c r="D34" s="546" t="e">
        <f>HLOOKUP(D$1,'ИНСТИТУТ (СУММА КАФЕДР)'!$DD$1:$DZ$27,$B34,0)</f>
        <v>#DIV/0!</v>
      </c>
      <c r="E34" s="546" t="e">
        <f>HLOOKUP(E$1,'ИНСТИТУТ (СУММА КАФЕДР)'!$DD$1:$DZ$27,$B34,0)</f>
        <v>#DIV/0!</v>
      </c>
      <c r="F34" s="546" t="str">
        <f>HLOOKUP(F$1,'ИНСТИТУТ (СУММА КАФЕДР)'!$DD$1:$DZ$27,$B34,0)</f>
        <v>0,0%
=0,0/23,0</v>
      </c>
      <c r="G34" s="546" t="e">
        <f>HLOOKUP(G$1,'ИНСТИТУТ (СУММА КАФЕДР)'!$DD$1:$DZ$27,$B34,0)</f>
        <v>#DIV/0!</v>
      </c>
      <c r="H34" s="546" t="e">
        <f>HLOOKUP(H$1,'ИНСТИТУТ (СУММА КАФЕДР)'!$DD$1:$DZ$27,$B34,0)</f>
        <v>#DIV/0!</v>
      </c>
      <c r="I34" s="546" t="e">
        <f>HLOOKUP(I$1,'ИНСТИТУТ (СУММА КАФЕДР)'!$DD$1:$DZ$27,$B34,0)</f>
        <v>#DIV/0!</v>
      </c>
      <c r="J34" s="639" t="e">
        <f>HLOOKUP(J$1,'«ВУЗ-РЕГИОН»(кафедры)'!$W$1:$Y$74,$B25,0)</f>
        <v>#REF!</v>
      </c>
      <c r="K34" s="639">
        <f>HLOOKUP(K$1,' "Вуз зож" (кафедры)'!$S$1:$U$74,$B25,0)</f>
        <v>0</v>
      </c>
      <c r="L34" s="546" t="e">
        <f>HLOOKUP(L$1,'ИНСТИТУТ (СУММА КАФЕДР)'!$DD$1:$DZ$27,$B34,0)</f>
        <v>#DIV/0!</v>
      </c>
      <c r="M34" s="229">
        <f>'сумма70+30'!AB27</f>
        <v>0</v>
      </c>
      <c r="N34" s="876">
        <f>'сумма70+30'!AC27</f>
        <v>0</v>
      </c>
      <c r="O34" s="876" t="e">
        <f t="array" ref="O34">'сумма70+30'!AD27:AD32</f>
        <v>#DIV/0!</v>
      </c>
      <c r="P34" s="412"/>
      <c r="Q34" s="227"/>
      <c r="R34" s="227"/>
      <c r="S34" s="227"/>
      <c r="T34" s="230" t="str">
        <f>HLOOKUP(T$1,'ИНСТИТУТ (СУММА КАФЕДР)'!$DD$1:$DZ$27,$B34,0)</f>
        <v>ФИС</v>
      </c>
      <c r="U34" s="161" t="e">
        <f>HLOOKUP(U$1,'ИНСТИТУТ (СУММА КАФЕДР)'!$CO$1:$DZ$27,$B34,0)</f>
        <v>#DIV/0!</v>
      </c>
      <c r="V34" s="161" t="e">
        <f>HLOOKUP(V$1,'ИНСТИТУТ (СУММА КАФЕДР)'!$CO$1:$DZ$27,$B34,0)</f>
        <v>#DIV/0!</v>
      </c>
      <c r="W34" s="161" t="e">
        <f>HLOOKUP(W$1,'ИНСТИТУТ (СУММА КАФЕДР)'!$CO$1:$DZ$27,$B34,0)</f>
        <v>#DIV/0!</v>
      </c>
    </row>
    <row r="35" spans="1:23" ht="14.25" customHeight="1" x14ac:dyDescent="0.2"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393"/>
      <c r="Q35" s="233"/>
      <c r="R35" s="233"/>
      <c r="S35" s="233"/>
    </row>
    <row r="36" spans="1:23" ht="14.25" customHeight="1" x14ac:dyDescent="0.2">
      <c r="C36" s="160"/>
      <c r="D36" s="160"/>
      <c r="E36" s="160"/>
      <c r="F36" s="160"/>
      <c r="G36" s="160"/>
      <c r="H36" s="160"/>
      <c r="I36" s="160"/>
      <c r="J36" s="160"/>
      <c r="K36" s="160"/>
      <c r="L36" s="160"/>
      <c r="M36" s="160"/>
      <c r="N36" s="160"/>
      <c r="O36" s="160"/>
      <c r="P36" s="392"/>
      <c r="Q36" s="227"/>
      <c r="R36" s="227"/>
      <c r="S36" s="227"/>
    </row>
    <row r="37" spans="1:23" ht="14.25" customHeight="1" x14ac:dyDescent="0.2">
      <c r="C37" s="160"/>
      <c r="D37" s="160"/>
      <c r="E37" s="160"/>
      <c r="F37" s="160"/>
      <c r="G37" s="160"/>
      <c r="H37" s="160"/>
      <c r="I37" s="160"/>
      <c r="J37" s="160"/>
      <c r="K37" s="160"/>
      <c r="L37" s="160"/>
      <c r="M37" s="160"/>
      <c r="N37" s="160"/>
      <c r="O37" s="160"/>
      <c r="P37" s="392"/>
      <c r="Q37" s="227"/>
      <c r="R37" s="227"/>
      <c r="S37" s="227"/>
    </row>
    <row r="38" spans="1:23" ht="14.25" customHeight="1" x14ac:dyDescent="0.2">
      <c r="C38" s="160"/>
      <c r="D38" s="160"/>
      <c r="E38" s="160"/>
      <c r="F38" s="160"/>
      <c r="G38" s="160"/>
      <c r="H38" s="160"/>
      <c r="I38" s="160"/>
      <c r="J38" s="160"/>
      <c r="K38" s="160"/>
      <c r="L38" s="160"/>
      <c r="M38" s="160"/>
      <c r="N38" s="160"/>
      <c r="O38" s="160"/>
      <c r="P38" s="392"/>
      <c r="Q38" s="227"/>
      <c r="R38" s="227"/>
      <c r="S38" s="227"/>
    </row>
    <row r="39" spans="1:23" ht="14.25" customHeight="1" x14ac:dyDescent="0.2">
      <c r="C39" s="160"/>
      <c r="D39" s="160"/>
      <c r="E39" s="160"/>
      <c r="F39" s="160"/>
      <c r="G39" s="160"/>
      <c r="H39" s="160"/>
      <c r="I39" s="160"/>
      <c r="J39" s="160"/>
      <c r="K39" s="160"/>
      <c r="L39" s="160"/>
      <c r="M39" s="160"/>
      <c r="N39" s="160"/>
      <c r="O39" s="160"/>
      <c r="P39" s="392"/>
      <c r="Q39" s="227"/>
      <c r="R39" s="227"/>
      <c r="S39" s="227"/>
    </row>
    <row r="40" spans="1:23" ht="14.25" customHeight="1" x14ac:dyDescent="0.2">
      <c r="C40" s="160"/>
      <c r="D40" s="160"/>
      <c r="E40" s="160"/>
      <c r="F40" s="160"/>
      <c r="G40" s="160"/>
      <c r="H40" s="160"/>
      <c r="I40" s="160"/>
      <c r="J40" s="160"/>
      <c r="K40" s="160"/>
      <c r="L40" s="160"/>
      <c r="M40" s="160"/>
      <c r="N40" s="160"/>
      <c r="O40" s="160"/>
      <c r="P40" s="392"/>
      <c r="Q40" s="227"/>
      <c r="R40" s="227"/>
      <c r="S40" s="227"/>
    </row>
    <row r="41" spans="1:23" ht="14.25" customHeight="1" x14ac:dyDescent="0.2">
      <c r="C41" s="160"/>
      <c r="D41" s="160"/>
      <c r="E41" s="160"/>
      <c r="F41" s="160"/>
      <c r="G41" s="160"/>
      <c r="H41" s="160"/>
      <c r="I41" s="160"/>
      <c r="J41" s="160"/>
      <c r="K41" s="160"/>
      <c r="L41" s="160"/>
      <c r="M41" s="160"/>
      <c r="N41" s="160"/>
      <c r="O41" s="160"/>
      <c r="P41" s="392"/>
      <c r="Q41" s="227"/>
      <c r="R41" s="227"/>
      <c r="S41" s="227"/>
    </row>
    <row r="42" spans="1:23" ht="14.25" customHeight="1" x14ac:dyDescent="0.2">
      <c r="C42" s="160"/>
      <c r="D42" s="160"/>
      <c r="E42" s="160"/>
      <c r="F42" s="160"/>
      <c r="G42" s="160"/>
      <c r="H42" s="160"/>
      <c r="I42" s="160"/>
      <c r="J42" s="160"/>
      <c r="K42" s="160"/>
      <c r="L42" s="160"/>
      <c r="M42" s="160"/>
      <c r="N42" s="160"/>
      <c r="O42" s="160"/>
      <c r="P42" s="392"/>
      <c r="Q42" s="227"/>
      <c r="R42" s="227"/>
      <c r="S42" s="227"/>
    </row>
    <row r="43" spans="1:23" ht="14.25" customHeight="1" x14ac:dyDescent="0.2">
      <c r="C43" s="160"/>
      <c r="D43" s="160"/>
      <c r="E43" s="160"/>
      <c r="F43" s="160"/>
      <c r="G43" s="160"/>
      <c r="H43" s="160"/>
      <c r="I43" s="160"/>
      <c r="J43" s="160"/>
      <c r="K43" s="160"/>
      <c r="L43" s="160"/>
      <c r="M43" s="160"/>
      <c r="N43" s="160"/>
      <c r="O43" s="160"/>
      <c r="P43" s="392"/>
      <c r="Q43" s="227"/>
      <c r="R43" s="227"/>
      <c r="S43" s="227"/>
    </row>
    <row r="44" spans="1:23" ht="14.25" customHeight="1" x14ac:dyDescent="0.2"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60"/>
      <c r="N44" s="160"/>
      <c r="O44" s="160"/>
      <c r="P44" s="392"/>
      <c r="Q44" s="227"/>
      <c r="R44" s="227"/>
      <c r="S44" s="227"/>
    </row>
    <row r="45" spans="1:23" ht="14.25" customHeight="1" x14ac:dyDescent="0.2">
      <c r="C45" s="160"/>
      <c r="D45" s="160"/>
      <c r="E45" s="160"/>
      <c r="F45" s="160"/>
      <c r="G45" s="160"/>
      <c r="H45" s="160"/>
      <c r="I45" s="160"/>
      <c r="J45" s="160"/>
      <c r="K45" s="160"/>
      <c r="L45" s="160"/>
      <c r="M45" s="160"/>
      <c r="N45" s="160"/>
      <c r="O45" s="160"/>
      <c r="P45" s="392"/>
      <c r="Q45" s="227"/>
      <c r="R45" s="227"/>
      <c r="S45" s="227"/>
    </row>
    <row r="46" spans="1:23" ht="14.25" customHeight="1" x14ac:dyDescent="0.2">
      <c r="C46" s="160"/>
      <c r="D46" s="160"/>
      <c r="E46" s="160"/>
      <c r="F46" s="160"/>
      <c r="G46" s="160"/>
      <c r="H46" s="160"/>
      <c r="I46" s="160"/>
      <c r="J46" s="160"/>
      <c r="K46" s="160"/>
      <c r="L46" s="160"/>
      <c r="M46" s="160"/>
      <c r="N46" s="160"/>
      <c r="O46" s="160"/>
      <c r="P46" s="392"/>
      <c r="Q46" s="227"/>
      <c r="R46" s="227"/>
      <c r="S46" s="227"/>
    </row>
    <row r="47" spans="1:23" ht="14.25" customHeight="1" x14ac:dyDescent="0.2">
      <c r="C47" s="160"/>
      <c r="D47" s="160"/>
      <c r="E47" s="160"/>
      <c r="F47" s="160"/>
      <c r="G47" s="160"/>
      <c r="H47" s="160"/>
      <c r="I47" s="160"/>
      <c r="J47" s="160"/>
      <c r="K47" s="160"/>
      <c r="L47" s="160"/>
      <c r="M47" s="160"/>
      <c r="N47" s="160"/>
      <c r="O47" s="160"/>
      <c r="P47" s="392"/>
      <c r="Q47" s="227"/>
      <c r="R47" s="227"/>
      <c r="S47" s="227"/>
    </row>
    <row r="48" spans="1:23" ht="14.25" customHeight="1" x14ac:dyDescent="0.2">
      <c r="C48" s="160"/>
      <c r="D48" s="160"/>
      <c r="E48" s="160"/>
      <c r="F48" s="160"/>
      <c r="G48" s="160"/>
      <c r="H48" s="160"/>
      <c r="I48" s="160"/>
      <c r="J48" s="160"/>
      <c r="K48" s="160"/>
      <c r="L48" s="160"/>
      <c r="M48" s="160"/>
      <c r="N48" s="160"/>
      <c r="O48" s="160"/>
      <c r="P48" s="392"/>
      <c r="Q48" s="227"/>
      <c r="R48" s="227"/>
      <c r="S48" s="227"/>
    </row>
    <row r="49" spans="1:23" ht="14.25" customHeight="1" x14ac:dyDescent="0.2">
      <c r="C49" s="160"/>
      <c r="D49" s="160"/>
      <c r="E49" s="160"/>
      <c r="F49" s="160"/>
      <c r="G49" s="160"/>
      <c r="H49" s="160"/>
      <c r="I49" s="160"/>
      <c r="J49" s="160"/>
      <c r="K49" s="160"/>
      <c r="L49" s="160"/>
      <c r="M49" s="160"/>
      <c r="N49" s="160"/>
      <c r="O49" s="160"/>
      <c r="P49" s="392"/>
      <c r="Q49" s="227"/>
      <c r="R49" s="227"/>
      <c r="S49" s="227"/>
    </row>
    <row r="50" spans="1:23" s="234" customFormat="1" ht="25.5" customHeight="1" x14ac:dyDescent="0.2">
      <c r="B50" s="234">
        <v>70</v>
      </c>
      <c r="C50" s="235" t="s">
        <v>185</v>
      </c>
      <c r="D50" s="236">
        <v>19</v>
      </c>
      <c r="E50" s="236">
        <v>19</v>
      </c>
      <c r="F50" s="236">
        <v>20</v>
      </c>
      <c r="G50" s="236">
        <v>11</v>
      </c>
      <c r="H50" s="236">
        <v>16</v>
      </c>
      <c r="I50" s="236"/>
      <c r="J50" s="236"/>
      <c r="K50" s="236"/>
      <c r="L50" s="236">
        <v>95</v>
      </c>
      <c r="M50" s="236"/>
      <c r="N50" s="236"/>
      <c r="O50" s="236">
        <v>95</v>
      </c>
      <c r="P50" s="394"/>
      <c r="Q50" s="237"/>
      <c r="R50" s="237"/>
      <c r="S50" s="237"/>
    </row>
    <row r="51" spans="1:23" s="234" customFormat="1" ht="38.25" customHeight="1" x14ac:dyDescent="0.2">
      <c r="C51" s="235" t="s">
        <v>186</v>
      </c>
      <c r="D51" s="238">
        <v>14</v>
      </c>
      <c r="E51" s="236">
        <v>19</v>
      </c>
      <c r="F51" s="238">
        <v>15</v>
      </c>
      <c r="G51" s="236">
        <v>11</v>
      </c>
      <c r="H51" s="236">
        <v>16</v>
      </c>
      <c r="I51" s="236"/>
      <c r="J51" s="236"/>
      <c r="K51" s="236"/>
      <c r="L51" s="238">
        <v>85</v>
      </c>
      <c r="M51" s="238"/>
      <c r="N51" s="238"/>
      <c r="O51" s="238">
        <v>85</v>
      </c>
      <c r="P51" s="395"/>
      <c r="Q51" s="239"/>
      <c r="R51" s="239"/>
      <c r="S51" s="239"/>
    </row>
    <row r="52" spans="1:23" s="234" customFormat="1" ht="14.25" customHeight="1" x14ac:dyDescent="0.2">
      <c r="C52" s="234" t="s">
        <v>187</v>
      </c>
      <c r="P52" s="396"/>
    </row>
    <row r="53" spans="1:23" ht="13.5" customHeight="1" x14ac:dyDescent="0.2">
      <c r="P53" s="397"/>
    </row>
    <row r="54" spans="1:23" ht="15" customHeight="1" x14ac:dyDescent="0.2">
      <c r="C54" s="2379" t="s">
        <v>188</v>
      </c>
      <c r="D54" s="2380" t="s">
        <v>182</v>
      </c>
      <c r="E54" s="2381"/>
      <c r="F54" s="2381"/>
      <c r="G54" s="2381"/>
      <c r="H54" s="2381"/>
      <c r="I54" s="2381"/>
      <c r="J54" s="2381"/>
      <c r="K54" s="2382"/>
      <c r="L54" s="378"/>
      <c r="M54" s="240"/>
      <c r="N54" s="240"/>
      <c r="O54" s="240"/>
      <c r="P54" s="391"/>
      <c r="Q54" s="222"/>
      <c r="R54" s="222"/>
      <c r="S54" s="222"/>
    </row>
    <row r="55" spans="1:23" ht="99.75" customHeight="1" x14ac:dyDescent="0.2">
      <c r="C55" s="2379"/>
      <c r="D55" s="223" t="str">
        <f t="shared" ref="D55:I55" si="1">D5</f>
        <v>Учебная и учебно-методическая деятельность</v>
      </c>
      <c r="E55" s="223" t="str">
        <f t="shared" si="1"/>
        <v>Дополнительное профессиональное образование (Бюджет)</v>
      </c>
      <c r="F55" s="223" t="str">
        <f t="shared" si="1"/>
        <v>Научная деятельность</v>
      </c>
      <c r="G55" s="223" t="str">
        <f t="shared" si="1"/>
        <v>Профориентационная и воспитательная деятельность</v>
      </c>
      <c r="H55" s="223" t="str">
        <f t="shared" si="1"/>
        <v>Деятельность, направленная на экономическую эффективность</v>
      </c>
      <c r="I55" s="223" t="str">
        <f t="shared" si="1"/>
        <v xml:space="preserve">Деятельность, направленная на работу с кадровым составом кафедры </v>
      </c>
      <c r="J55" s="699" t="str">
        <f>'Реестр ППС'!A4</f>
        <v xml:space="preserve">Реестр ППС кафедр, состоящих в профессиональных сообществах, комиссиях и других коллегиальных органах, внештатные специалисты Министерства здравоохранения Алтайского края </v>
      </c>
      <c r="K55" s="699" t="str">
        <f>' "Вуз зож"'!A5</f>
        <v>Реализация проекта «ВУЗ здорового образа жизни»</v>
      </c>
      <c r="L55" s="223" t="str">
        <f>L5</f>
        <v>ИТОГО:</v>
      </c>
      <c r="M55" s="223" t="s">
        <v>341</v>
      </c>
      <c r="N55" s="223" t="s">
        <v>340</v>
      </c>
      <c r="O55" s="223" t="str">
        <f>O5</f>
        <v>ИТОГО:
(с учетом понижающих и повышающих бонусов кафедры, деканата)</v>
      </c>
      <c r="P55" s="223" t="s">
        <v>231</v>
      </c>
      <c r="Q55" s="224"/>
      <c r="R55" s="224"/>
      <c r="S55" s="224"/>
      <c r="U55" s="31" t="s">
        <v>183</v>
      </c>
    </row>
    <row r="56" spans="1:23" ht="71.25" customHeight="1" x14ac:dyDescent="0.2">
      <c r="C56" s="2379"/>
      <c r="D56" s="223" t="s">
        <v>194</v>
      </c>
      <c r="E56" s="223" t="s">
        <v>194</v>
      </c>
      <c r="F56" s="223" t="s">
        <v>194</v>
      </c>
      <c r="G56" s="223" t="s">
        <v>194</v>
      </c>
      <c r="H56" s="223" t="s">
        <v>194</v>
      </c>
      <c r="I56" s="223" t="s">
        <v>194</v>
      </c>
      <c r="J56" s="223" t="s">
        <v>194</v>
      </c>
      <c r="K56" s="223" t="s">
        <v>194</v>
      </c>
      <c r="L56" s="223" t="s">
        <v>194</v>
      </c>
      <c r="M56" s="1926" t="s">
        <v>41</v>
      </c>
      <c r="N56" s="1926" t="s">
        <v>41</v>
      </c>
      <c r="O56" s="1926" t="s">
        <v>198</v>
      </c>
      <c r="P56" s="390"/>
      <c r="Q56" s="224"/>
      <c r="R56" s="224"/>
      <c r="S56" s="224"/>
    </row>
    <row r="57" spans="1:23" ht="15" x14ac:dyDescent="0.2">
      <c r="A57" s="457"/>
      <c r="C57" s="379" t="s">
        <v>189</v>
      </c>
      <c r="D57" s="241"/>
      <c r="E57" s="241"/>
      <c r="F57" s="241"/>
      <c r="G57" s="241"/>
      <c r="H57" s="241"/>
      <c r="I57" s="241"/>
      <c r="J57" s="241"/>
      <c r="K57" s="241"/>
      <c r="L57" s="241"/>
      <c r="M57" s="241"/>
      <c r="N57" s="241"/>
      <c r="O57" s="241"/>
      <c r="P57" s="398"/>
      <c r="Q57" s="242"/>
      <c r="R57" s="242"/>
      <c r="S57" s="242"/>
      <c r="T57" s="31" t="s">
        <v>147</v>
      </c>
      <c r="U57" s="31" t="s">
        <v>147</v>
      </c>
    </row>
    <row r="58" spans="1:23" ht="30" x14ac:dyDescent="0.2">
      <c r="A58" s="457"/>
      <c r="B58" s="31">
        <v>20</v>
      </c>
      <c r="C58" s="230" t="str">
        <f>HLOOKUP(C$1,КАФЕДРА!$DE$1:$EH$77,$B58,0)</f>
        <v>Акушерства и гинекологии с курсом ДПО</v>
      </c>
      <c r="D58" s="231" t="e">
        <f>HLOOKUP(D$1,КАФЕДРА!$DE$1:$EH$75,$B58,0)</f>
        <v>#DIV/0!</v>
      </c>
      <c r="E58" s="231" t="e">
        <f>HLOOKUP(E$1,КАФЕДРА!$DE$1:$EH$75,$B58,0)</f>
        <v>#DIV/0!</v>
      </c>
      <c r="F58" s="231" t="e">
        <f>HLOOKUP(F$1,КАФЕДРА!$DE$1:$EH$75,$B58,0)</f>
        <v>#DIV/0!</v>
      </c>
      <c r="G58" s="231" t="e">
        <f>HLOOKUP(G$1,КАФЕДРА!$DE$1:$EH$75,$B58,0)</f>
        <v>#DIV/0!</v>
      </c>
      <c r="H58" s="231" t="e">
        <f>HLOOKUP(H$1,КАФЕДРА!$DE$1:$EH$75,$B58,0)</f>
        <v>#DIV/0!</v>
      </c>
      <c r="I58" s="231" t="e">
        <f>HLOOKUP(I$1,КАФЕДРА!$DE$1:$EH$75,$B58,0)</f>
        <v>#DIV/0!</v>
      </c>
      <c r="J58" s="866" t="e">
        <f>HLOOKUP(J$1,'Реестр ППС'!#REF!,$B58,0)</f>
        <v>#REF!</v>
      </c>
      <c r="K58" s="639" t="str">
        <f>HLOOKUP(K$1,' "Вуз зож"'!$S$1:$U$75,$B58,0)</f>
        <v>0,0%
=0,0/7,0</v>
      </c>
      <c r="L58" s="231" t="e">
        <f>HLOOKUP(L$1,КАФЕДРА!$DE$1:$EH$75,$B58,0)</f>
        <v>#REF!</v>
      </c>
      <c r="M58" s="639">
        <f>3+9</f>
        <v>12</v>
      </c>
      <c r="N58" s="536"/>
      <c r="O58" s="229" t="e">
        <f>ROUND(HLOOKUP(O$1,КАФЕДРА!$CY$1:$EH$75,$B58,0)+M58+N58,1)</f>
        <v>#REF!</v>
      </c>
      <c r="P58" s="507" t="e">
        <f>IF(O58&lt;50,0,IF(O58&gt;100,100,O58))</f>
        <v>#REF!</v>
      </c>
      <c r="Q58" s="227"/>
      <c r="R58" s="227"/>
      <c r="S58" s="227"/>
      <c r="T58" s="230" t="str">
        <f>HLOOKUP(T$1,КАФЕДРА!$DE$1:$EH$75,$B58,0)</f>
        <v>КМЕДИЦИНЫ</v>
      </c>
      <c r="U58" s="161" t="e">
        <f>HLOOKUP(U$1,КАФЕДРА!$CP$1:$EH$75,$B58,0)</f>
        <v>#REF!</v>
      </c>
      <c r="V58" s="161" t="e">
        <f>HLOOKUP(V$1,КАФЕДРА!$CP$1:$EH$75,$B58,0)</f>
        <v>#REF!</v>
      </c>
      <c r="W58" s="161" t="e">
        <f>HLOOKUP(W$1,КАФЕДРА!$CP$1:$EH$75,$B58,0)</f>
        <v>#REF!</v>
      </c>
    </row>
    <row r="59" spans="1:23" ht="30" x14ac:dyDescent="0.2">
      <c r="A59" s="457"/>
      <c r="B59" s="31">
        <v>21</v>
      </c>
      <c r="C59" s="230" t="str">
        <f>HLOOKUP(C$1,КАФЕДРА!$DE$1:$EH$77,$B59,0)</f>
        <v>Анатомии</v>
      </c>
      <c r="D59" s="231" t="e">
        <f>HLOOKUP(D$1,КАФЕДРА!$DE$1:$EH$75,$B59,0)</f>
        <v>#DIV/0!</v>
      </c>
      <c r="E59" s="231" t="e">
        <f>HLOOKUP(E$1,КАФЕДРА!$DE$1:$EH$75,$B59,0)</f>
        <v>#DIV/0!</v>
      </c>
      <c r="F59" s="231" t="e">
        <f>HLOOKUP(F$1,КАФЕДРА!$DE$1:$EH$75,$B59,0)</f>
        <v>#DIV/0!</v>
      </c>
      <c r="G59" s="231" t="e">
        <f>HLOOKUP(G$1,КАФЕДРА!$DE$1:$EH$75,$B59,0)</f>
        <v>#DIV/0!</v>
      </c>
      <c r="H59" s="231" t="e">
        <f>HLOOKUP(H$1,КАФЕДРА!$DE$1:$EH$75,$B59,0)</f>
        <v>#DIV/0!</v>
      </c>
      <c r="I59" s="231" t="e">
        <f>HLOOKUP(I$1,КАФЕДРА!$DE$1:$EH$75,$B59,0)</f>
        <v>#DIV/0!</v>
      </c>
      <c r="J59" s="639" t="e">
        <f>HLOOKUP(J$1,'Реестр ППС'!#REF!,$B59,0)</f>
        <v>#REF!</v>
      </c>
      <c r="K59" s="639" t="str">
        <f>HLOOKUP(K$1,' "Вуз зож"'!$S$1:$U$75,$B59,0)</f>
        <v>0,0%
=0,0/7,0</v>
      </c>
      <c r="L59" s="231" t="e">
        <f>HLOOKUP(L$1,КАФЕДРА!$DE$1:$EH$75,$B59,0)</f>
        <v>#REF!</v>
      </c>
      <c r="M59" s="639">
        <f>2+2</f>
        <v>4</v>
      </c>
      <c r="N59" s="537"/>
      <c r="O59" s="229" t="e">
        <f>ROUND(HLOOKUP(O$1,КАФЕДРА!$CY$1:$EH$75,$B59,0)+M59+N59,1)</f>
        <v>#REF!</v>
      </c>
      <c r="P59" s="507" t="e">
        <f t="shared" ref="P59:P111" si="2">IF(O59&lt;50,0,IF(O59&gt;100,100,O59))</f>
        <v>#REF!</v>
      </c>
      <c r="Q59" s="227"/>
      <c r="R59" s="227"/>
      <c r="S59" s="227"/>
      <c r="T59" s="230" t="str">
        <f>HLOOKUP(T$1,КАФЕДРА!$DE$1:$EH$75,$B59,0)</f>
        <v>КМЕДИЦИНЫ</v>
      </c>
      <c r="U59" s="161" t="e">
        <f>HLOOKUP(U$1,КАФЕДРА!$CP$1:$EH$75,$B59,0)</f>
        <v>#REF!</v>
      </c>
      <c r="V59" s="161" t="e">
        <f>HLOOKUP(V$1,КАФЕДРА!$CP$1:$EH$75,$B59,0)</f>
        <v>#REF!</v>
      </c>
      <c r="W59" s="161" t="e">
        <f>HLOOKUP(W$1,КАФЕДРА!$CP$1:$EH$75,$B59,0)</f>
        <v>#REF!</v>
      </c>
    </row>
    <row r="60" spans="1:23" ht="30" x14ac:dyDescent="0.2">
      <c r="A60" s="457"/>
      <c r="B60" s="31">
        <v>22</v>
      </c>
      <c r="C60" s="230" t="str">
        <f>HLOOKUP(C$1,КАФЕДРА!$DE$1:$EH$77,$B60,0)</f>
        <v>Анестезиологии и реаниматологии с курсом ДПО</v>
      </c>
      <c r="D60" s="554" t="e">
        <f>HLOOKUP(D$1,КАФЕДРА!$DE$1:$EH$75,$B60,0)</f>
        <v>#DIV/0!</v>
      </c>
      <c r="E60" s="554" t="e">
        <f>HLOOKUP(E$1,КАФЕДРА!$DE$1:$EH$75,$B60,0)</f>
        <v>#DIV/0!</v>
      </c>
      <c r="F60" s="554" t="e">
        <f>HLOOKUP(F$1,КАФЕДРА!$DE$1:$EH$75,$B60,0)</f>
        <v>#DIV/0!</v>
      </c>
      <c r="G60" s="554" t="e">
        <f>HLOOKUP(G$1,КАФЕДРА!$DE$1:$EH$75,$B60,0)</f>
        <v>#DIV/0!</v>
      </c>
      <c r="H60" s="554" t="e">
        <f>HLOOKUP(H$1,КАФЕДРА!$DE$1:$EH$75,$B60,0)</f>
        <v>#DIV/0!</v>
      </c>
      <c r="I60" s="554" t="e">
        <f>HLOOKUP(I$1,КАФЕДРА!$DE$1:$EH$75,$B60,0)</f>
        <v>#DIV/0!</v>
      </c>
      <c r="J60" s="639" t="e">
        <f>HLOOKUP(J$1,'Реестр ППС'!#REF!,$B60,0)</f>
        <v>#REF!</v>
      </c>
      <c r="K60" s="639" t="str">
        <f>HLOOKUP(K$1,' "Вуз зож"'!$S$1:$U$75,$B60,0)</f>
        <v>0,0%
=0,0/7,0</v>
      </c>
      <c r="L60" s="554" t="e">
        <f>HLOOKUP(L$1,КАФЕДРА!$DE$1:$EH$75,$B60,0)</f>
        <v>#REF!</v>
      </c>
      <c r="M60" s="639"/>
      <c r="N60" s="554"/>
      <c r="O60" s="229" t="e">
        <f>ROUND(HLOOKUP(O$1,КАФЕДРА!$CY$1:$EH$75,$B60,0)+M60+N60,1)</f>
        <v>#REF!</v>
      </c>
      <c r="P60" s="507" t="e">
        <f t="shared" si="2"/>
        <v>#REF!</v>
      </c>
      <c r="Q60" s="227"/>
      <c r="R60" s="227"/>
      <c r="S60" s="227"/>
      <c r="T60" s="230" t="str">
        <f>HLOOKUP(T$1,КАФЕДРА!$DE$1:$EH$75,$B60,0)</f>
        <v>КМЕДИЦИНЫ</v>
      </c>
      <c r="U60" s="161" t="e">
        <f>HLOOKUP(U$1,КАФЕДРА!$CP$1:$EH$75,$B60,0)</f>
        <v>#REF!</v>
      </c>
      <c r="V60" s="161" t="e">
        <f>HLOOKUP(V$1,КАФЕДРА!$CP$1:$EH$75,$B60,0)</f>
        <v>#REF!</v>
      </c>
      <c r="W60" s="161" t="e">
        <f>HLOOKUP(W$1,КАФЕДРА!$CP$1:$EH$75,$B60,0)</f>
        <v>#REF!</v>
      </c>
    </row>
    <row r="61" spans="1:23" ht="30" x14ac:dyDescent="0.2">
      <c r="A61" s="457"/>
      <c r="B61" s="31">
        <v>23</v>
      </c>
      <c r="C61" s="230" t="str">
        <f>HLOOKUP(C$1,КАФЕДРА!$DE$1:$EH$77,$B61,0)</f>
        <v>Госпитальной терапии и эндокринологии</v>
      </c>
      <c r="D61" s="554" t="e">
        <f>HLOOKUP(D$1,КАФЕДРА!$DE$1:$EH$75,$B61,0)</f>
        <v>#DIV/0!</v>
      </c>
      <c r="E61" s="554" t="e">
        <f>HLOOKUP(E$1,КАФЕДРА!$DE$1:$EH$75,$B61,0)</f>
        <v>#DIV/0!</v>
      </c>
      <c r="F61" s="554" t="e">
        <f>HLOOKUP(F$1,КАФЕДРА!$DE$1:$EH$75,$B61,0)</f>
        <v>#DIV/0!</v>
      </c>
      <c r="G61" s="554" t="e">
        <f>HLOOKUP(G$1,КАФЕДРА!$DE$1:$EH$75,$B61,0)</f>
        <v>#DIV/0!</v>
      </c>
      <c r="H61" s="554" t="e">
        <f>HLOOKUP(H$1,КАФЕДРА!$DE$1:$EH$75,$B61,0)</f>
        <v>#DIV/0!</v>
      </c>
      <c r="I61" s="554" t="e">
        <f>HLOOKUP(I$1,КАФЕДРА!$DE$1:$EH$75,$B61,0)</f>
        <v>#DIV/0!</v>
      </c>
      <c r="J61" s="639" t="e">
        <f>HLOOKUP(J$1,'Реестр ППС'!#REF!,$B61,0)</f>
        <v>#REF!</v>
      </c>
      <c r="K61" s="639" t="str">
        <f>HLOOKUP(K$1,' "Вуз зож"'!$S$1:$U$75,$B61,0)</f>
        <v>0,0%
=0,0/7,0</v>
      </c>
      <c r="L61" s="554" t="e">
        <f>HLOOKUP(L$1,КАФЕДРА!$DE$1:$EH$75,$B61,0)</f>
        <v>#REF!</v>
      </c>
      <c r="M61" s="554">
        <f>3*10+2</f>
        <v>32</v>
      </c>
      <c r="N61" s="554"/>
      <c r="O61" s="229" t="e">
        <f>ROUND(HLOOKUP(O$1,КАФЕДРА!$CY$1:$EH$75,$B61,0)+M61+N61,1)</f>
        <v>#REF!</v>
      </c>
      <c r="P61" s="507" t="e">
        <f t="shared" si="2"/>
        <v>#REF!</v>
      </c>
      <c r="Q61" s="227"/>
      <c r="R61" s="227"/>
      <c r="S61" s="227"/>
      <c r="T61" s="230" t="str">
        <f>HLOOKUP(T$1,КАФЕДРА!$DE$1:$EH$75,$B61,0)</f>
        <v>КМЕДИЦИНЫ</v>
      </c>
      <c r="U61" s="161" t="e">
        <f>HLOOKUP(U$1,КАФЕДРА!$CP$1:$EH$75,$B61,0)</f>
        <v>#REF!</v>
      </c>
      <c r="V61" s="161" t="e">
        <f>HLOOKUP(V$1,КАФЕДРА!$CP$1:$EH$75,$B61,0)</f>
        <v>#REF!</v>
      </c>
      <c r="W61" s="161" t="e">
        <f>HLOOKUP(W$1,КАФЕДРА!$CP$1:$EH$75,$B61,0)</f>
        <v>#REF!</v>
      </c>
    </row>
    <row r="62" spans="1:23" ht="30" x14ac:dyDescent="0.2">
      <c r="A62" s="457"/>
      <c r="B62" s="31">
        <v>24</v>
      </c>
      <c r="C62" s="230" t="str">
        <f>HLOOKUP(C$1,КАФЕДРА!$DE$1:$EH$77,$B62,0)</f>
        <v>Госпитальной хирургии</v>
      </c>
      <c r="D62" s="554" t="e">
        <f>HLOOKUP(D$1,КАФЕДРА!$DE$1:$EH$75,$B62,0)</f>
        <v>#DIV/0!</v>
      </c>
      <c r="E62" s="554" t="e">
        <f>HLOOKUP(E$1,КАФЕДРА!$DE$1:$EH$75,$B62,0)</f>
        <v>#DIV/0!</v>
      </c>
      <c r="F62" s="554" t="e">
        <f>HLOOKUP(F$1,КАФЕДРА!$DE$1:$EH$75,$B62,0)</f>
        <v>#DIV/0!</v>
      </c>
      <c r="G62" s="554" t="e">
        <f>HLOOKUP(G$1,КАФЕДРА!$DE$1:$EH$75,$B62,0)</f>
        <v>#DIV/0!</v>
      </c>
      <c r="H62" s="554" t="e">
        <f>HLOOKUP(H$1,КАФЕДРА!$DE$1:$EH$75,$B62,0)</f>
        <v>#DIV/0!</v>
      </c>
      <c r="I62" s="554" t="e">
        <f>HLOOKUP(I$1,КАФЕДРА!$DE$1:$EH$75,$B62,0)</f>
        <v>#DIV/0!</v>
      </c>
      <c r="J62" s="639" t="e">
        <f>HLOOKUP(J$1,'Реестр ППС'!#REF!,$B62,0)</f>
        <v>#REF!</v>
      </c>
      <c r="K62" s="639" t="str">
        <f>HLOOKUP(K$1,' "Вуз зож"'!$S$1:$U$75,$B62,0)</f>
        <v>0,0%
=0,0/7,0</v>
      </c>
      <c r="L62" s="554" t="e">
        <f>HLOOKUP(L$1,КАФЕДРА!$DE$1:$EH$75,$B62,0)</f>
        <v>#REF!</v>
      </c>
      <c r="M62" s="554"/>
      <c r="N62" s="554"/>
      <c r="O62" s="229" t="e">
        <f>ROUND(HLOOKUP(O$1,КАФЕДРА!$CY$1:$EH$75,$B62,0)+M62+N62,1)</f>
        <v>#REF!</v>
      </c>
      <c r="P62" s="507" t="e">
        <f t="shared" si="2"/>
        <v>#REF!</v>
      </c>
      <c r="Q62" s="227"/>
      <c r="R62" s="227"/>
      <c r="S62" s="227"/>
      <c r="T62" s="230" t="str">
        <f>HLOOKUP(T$1,КАФЕДРА!$DE$1:$EH$75,$B62,0)</f>
        <v>КМЕДИЦИНЫ</v>
      </c>
      <c r="U62" s="161" t="e">
        <f>HLOOKUP(U$1,КАФЕДРА!$CP$1:$EH$75,$B62,0)</f>
        <v>#REF!</v>
      </c>
      <c r="V62" s="161" t="e">
        <f>HLOOKUP(V$1,КАФЕДРА!$CP$1:$EH$75,$B62,0)</f>
        <v>#REF!</v>
      </c>
      <c r="W62" s="161" t="e">
        <f>HLOOKUP(W$1,КАФЕДРА!$CP$1:$EH$75,$B62,0)</f>
        <v>#REF!</v>
      </c>
    </row>
    <row r="63" spans="1:23" ht="30" x14ac:dyDescent="0.2">
      <c r="A63" s="457"/>
      <c r="B63" s="31">
        <v>25</v>
      </c>
      <c r="C63" s="230" t="str">
        <f>HLOOKUP(C$1,КАФЕДРА!$DE$1:$EH$77,$B63,0)</f>
        <v>Неврологии и Нейрохирургии с курсом ДПО</v>
      </c>
      <c r="D63" s="554" t="e">
        <f>HLOOKUP(D$1,КАФЕДРА!$DE$1:$EH$75,$B63,0)</f>
        <v>#DIV/0!</v>
      </c>
      <c r="E63" s="554" t="e">
        <f>HLOOKUP(E$1,КАФЕДРА!$DE$1:$EH$75,$B63,0)</f>
        <v>#DIV/0!</v>
      </c>
      <c r="F63" s="554" t="e">
        <f>HLOOKUP(F$1,КАФЕДРА!$DE$1:$EH$75,$B63,0)</f>
        <v>#DIV/0!</v>
      </c>
      <c r="G63" s="554" t="e">
        <f>HLOOKUP(G$1,КАФЕДРА!$DE$1:$EH$75,$B63,0)</f>
        <v>#DIV/0!</v>
      </c>
      <c r="H63" s="554" t="e">
        <f>HLOOKUP(H$1,КАФЕДРА!$DE$1:$EH$75,$B63,0)</f>
        <v>#DIV/0!</v>
      </c>
      <c r="I63" s="554" t="e">
        <f>HLOOKUP(I$1,КАФЕДРА!$DE$1:$EH$75,$B63,0)</f>
        <v>#DIV/0!</v>
      </c>
      <c r="J63" s="639" t="e">
        <f>HLOOKUP(J$1,'Реестр ППС'!#REF!,$B63,0)</f>
        <v>#REF!</v>
      </c>
      <c r="K63" s="639" t="str">
        <f>HLOOKUP(K$1,' "Вуз зож"'!$S$1:$U$75,$B63,0)</f>
        <v>0,0%
=0,0/7,0</v>
      </c>
      <c r="L63" s="554" t="e">
        <f>HLOOKUP(L$1,КАФЕДРА!$DE$1:$EH$75,$B63,0)</f>
        <v>#REF!</v>
      </c>
      <c r="M63" s="554"/>
      <c r="N63" s="554"/>
      <c r="O63" s="229" t="e">
        <f>ROUND(HLOOKUP(O$1,КАФЕДРА!$CY$1:$EH$75,$B63,0)+M63+N63,1)</f>
        <v>#REF!</v>
      </c>
      <c r="P63" s="507" t="e">
        <f t="shared" si="2"/>
        <v>#REF!</v>
      </c>
      <c r="Q63" s="227"/>
      <c r="R63" s="227"/>
      <c r="S63" s="227"/>
      <c r="T63" s="230" t="str">
        <f>HLOOKUP(T$1,КАФЕДРА!$DE$1:$EH$75,$B63,0)</f>
        <v>КМЕДИЦИНЫ</v>
      </c>
      <c r="U63" s="161" t="e">
        <f>HLOOKUP(U$1,КАФЕДРА!$CP$1:$EH$75,$B63,0)</f>
        <v>#REF!</v>
      </c>
      <c r="V63" s="161" t="e">
        <f>HLOOKUP(V$1,КАФЕДРА!$CP$1:$EH$75,$B63,0)</f>
        <v>#REF!</v>
      </c>
      <c r="W63" s="161" t="e">
        <f>HLOOKUP(W$1,КАФЕДРА!$CP$1:$EH$75,$B63,0)</f>
        <v>#REF!</v>
      </c>
    </row>
    <row r="64" spans="1:23" ht="30" x14ac:dyDescent="0.2">
      <c r="A64" s="457"/>
      <c r="B64" s="31">
        <v>26</v>
      </c>
      <c r="C64" s="230" t="str">
        <f>HLOOKUP(C$1,КАФЕДРА!$DE$1:$EH$77,$B64,0)</f>
        <v>Нормальной физиологии</v>
      </c>
      <c r="D64" s="554" t="e">
        <f>HLOOKUP(D$1,КАФЕДРА!$DE$1:$EH$75,$B64,0)</f>
        <v>#DIV/0!</v>
      </c>
      <c r="E64" s="554" t="e">
        <f>HLOOKUP(E$1,КАФЕДРА!$DE$1:$EH$75,$B64,0)</f>
        <v>#DIV/0!</v>
      </c>
      <c r="F64" s="554" t="e">
        <f>HLOOKUP(F$1,КАФЕДРА!$DE$1:$EH$75,$B64,0)</f>
        <v>#DIV/0!</v>
      </c>
      <c r="G64" s="554" t="e">
        <f>HLOOKUP(G$1,КАФЕДРА!$DE$1:$EH$75,$B64,0)</f>
        <v>#DIV/0!</v>
      </c>
      <c r="H64" s="554" t="e">
        <f>HLOOKUP(H$1,КАФЕДРА!$DE$1:$EH$75,$B64,0)</f>
        <v>#DIV/0!</v>
      </c>
      <c r="I64" s="554" t="e">
        <f>HLOOKUP(I$1,КАФЕДРА!$DE$1:$EH$75,$B64,0)</f>
        <v>#DIV/0!</v>
      </c>
      <c r="J64" s="639" t="e">
        <f>HLOOKUP(J$1,'Реестр ППС'!#REF!,$B64,0)</f>
        <v>#REF!</v>
      </c>
      <c r="K64" s="639" t="str">
        <f>HLOOKUP(K$1,' "Вуз зож"'!$S$1:$U$75,$B64,0)</f>
        <v>0,0%
=0,0/7,0</v>
      </c>
      <c r="L64" s="554" t="e">
        <f>HLOOKUP(L$1,КАФЕДРА!$DE$1:$EH$75,$B64,0)</f>
        <v>#REF!</v>
      </c>
      <c r="M64" s="554">
        <f>3</f>
        <v>3</v>
      </c>
      <c r="N64" s="554"/>
      <c r="O64" s="229" t="e">
        <f>ROUND(HLOOKUP(O$1,КАФЕДРА!$CY$1:$EH$75,$B64,0)+M64+N64,1)</f>
        <v>#REF!</v>
      </c>
      <c r="P64" s="507" t="e">
        <f t="shared" si="2"/>
        <v>#REF!</v>
      </c>
      <c r="Q64" s="227"/>
      <c r="R64" s="227"/>
      <c r="S64" s="227"/>
      <c r="T64" s="230" t="str">
        <f>HLOOKUP(T$1,КАФЕДРА!$DE$1:$EH$75,$B64,0)</f>
        <v>КМЕДИЦИНЫ</v>
      </c>
      <c r="U64" s="161" t="e">
        <f>HLOOKUP(U$1,КАФЕДРА!$CP$1:$EH$75,$B64,0)</f>
        <v>#REF!</v>
      </c>
      <c r="V64" s="161" t="e">
        <f>HLOOKUP(V$1,КАФЕДРА!$CP$1:$EH$75,$B64,0)</f>
        <v>#REF!</v>
      </c>
      <c r="W64" s="161" t="e">
        <f>HLOOKUP(W$1,КАФЕДРА!$CP$1:$EH$75,$B64,0)</f>
        <v>#REF!</v>
      </c>
    </row>
    <row r="65" spans="1:23" ht="45" x14ac:dyDescent="0.2">
      <c r="A65" s="457"/>
      <c r="B65" s="31">
        <v>27</v>
      </c>
      <c r="C65" s="230" t="str">
        <f>HLOOKUP(C$1,КАФЕДРА!$DE$1:$EH$77,$B65,0)</f>
        <v>Общей хирургии, оперативной хирургии и топографической анатомии</v>
      </c>
      <c r="D65" s="554" t="e">
        <f>HLOOKUP(D$1,КАФЕДРА!$DE$1:$EH$75,$B65,0)</f>
        <v>#DIV/0!</v>
      </c>
      <c r="E65" s="554" t="e">
        <f>HLOOKUP(E$1,КАФЕДРА!$DE$1:$EH$75,$B65,0)</f>
        <v>#DIV/0!</v>
      </c>
      <c r="F65" s="554" t="e">
        <f>HLOOKUP(F$1,КАФЕДРА!$DE$1:$EH$75,$B65,0)</f>
        <v>#DIV/0!</v>
      </c>
      <c r="G65" s="554" t="e">
        <f>HLOOKUP(G$1,КАФЕДРА!$DE$1:$EH$75,$B65,0)</f>
        <v>#DIV/0!</v>
      </c>
      <c r="H65" s="554" t="e">
        <f>HLOOKUP(H$1,КАФЕДРА!$DE$1:$EH$75,$B65,0)</f>
        <v>#DIV/0!</v>
      </c>
      <c r="I65" s="554" t="e">
        <f>HLOOKUP(I$1,КАФЕДРА!$DE$1:$EH$75,$B65,0)</f>
        <v>#DIV/0!</v>
      </c>
      <c r="J65" s="639" t="e">
        <f>HLOOKUP(J$1,'Реестр ППС'!#REF!,$B65,0)</f>
        <v>#REF!</v>
      </c>
      <c r="K65" s="639" t="str">
        <f>HLOOKUP(K$1,' "Вуз зож"'!$S$1:$U$75,$B65,0)</f>
        <v>0,0%
=0,0/7,0</v>
      </c>
      <c r="L65" s="554" t="e">
        <f>HLOOKUP(L$1,КАФЕДРА!$DE$1:$EH$75,$B65,0)</f>
        <v>#REF!</v>
      </c>
      <c r="M65" s="639"/>
      <c r="N65" s="554"/>
      <c r="O65" s="229" t="e">
        <f>ROUND(HLOOKUP(O$1,КАФЕДРА!$CY$1:$EH$75,$B65,0)+M65+N65,1)</f>
        <v>#REF!</v>
      </c>
      <c r="P65" s="507" t="e">
        <f t="shared" si="2"/>
        <v>#REF!</v>
      </c>
      <c r="Q65" s="227"/>
      <c r="R65" s="227"/>
      <c r="S65" s="227"/>
      <c r="T65" s="230" t="str">
        <f>HLOOKUP(T$1,КАФЕДРА!$DE$1:$EH$75,$B65,0)</f>
        <v>КМЕДИЦИНЫ</v>
      </c>
      <c r="U65" s="161" t="e">
        <f>HLOOKUP(U$1,КАФЕДРА!$CP$1:$EH$75,$B65,0)</f>
        <v>#REF!</v>
      </c>
      <c r="V65" s="161" t="e">
        <f>HLOOKUP(V$1,КАФЕДРА!$CP$1:$EH$75,$B65,0)</f>
        <v>#REF!</v>
      </c>
      <c r="W65" s="161" t="e">
        <f>HLOOKUP(W$1,КАФЕДРА!$CP$1:$EH$75,$B65,0)</f>
        <v>#REF!</v>
      </c>
    </row>
    <row r="66" spans="1:23" ht="30" x14ac:dyDescent="0.2">
      <c r="A66" s="457"/>
      <c r="B66" s="31">
        <v>28</v>
      </c>
      <c r="C66" s="230" t="str">
        <f>HLOOKUP(C$1,КАФЕДРА!$DE$1:$EH$77,$B66,0)</f>
        <v>Оториноларингологии с курсом ДПО</v>
      </c>
      <c r="D66" s="554" t="e">
        <f>HLOOKUP(D$1,КАФЕДРА!$DE$1:$EH$75,$B66,0)</f>
        <v>#DIV/0!</v>
      </c>
      <c r="E66" s="554" t="e">
        <f>HLOOKUP(E$1,КАФЕДРА!$DE$1:$EH$75,$B66,0)</f>
        <v>#DIV/0!</v>
      </c>
      <c r="F66" s="554" t="e">
        <f>HLOOKUP(F$1,КАФЕДРА!$DE$1:$EH$75,$B66,0)</f>
        <v>#DIV/0!</v>
      </c>
      <c r="G66" s="554" t="e">
        <f>HLOOKUP(G$1,КАФЕДРА!$DE$1:$EH$75,$B66,0)</f>
        <v>#DIV/0!</v>
      </c>
      <c r="H66" s="554" t="e">
        <f>HLOOKUP(H$1,КАФЕДРА!$DE$1:$EH$75,$B66,0)</f>
        <v>#DIV/0!</v>
      </c>
      <c r="I66" s="554" t="e">
        <f>HLOOKUP(I$1,КАФЕДРА!$DE$1:$EH$75,$B66,0)</f>
        <v>#DIV/0!</v>
      </c>
      <c r="J66" s="639" t="e">
        <f>HLOOKUP(J$1,'Реестр ППС'!#REF!,$B66,0)</f>
        <v>#REF!</v>
      </c>
      <c r="K66" s="639" t="str">
        <f>HLOOKUP(K$1,' "Вуз зож"'!$S$1:$U$75,$B66,0)</f>
        <v>0,0%
=0,0/7,0</v>
      </c>
      <c r="L66" s="554" t="e">
        <f>HLOOKUP(L$1,КАФЕДРА!$DE$1:$EH$75,$B66,0)</f>
        <v>#REF!</v>
      </c>
      <c r="M66" s="554"/>
      <c r="N66" s="554"/>
      <c r="O66" s="229" t="e">
        <f>ROUND(HLOOKUP(O$1,КАФЕДРА!$CY$1:$EH$75,$B66,0)+M66+N66,1)</f>
        <v>#REF!</v>
      </c>
      <c r="P66" s="507" t="e">
        <f t="shared" si="2"/>
        <v>#REF!</v>
      </c>
      <c r="Q66" s="227"/>
      <c r="R66" s="227"/>
      <c r="S66" s="227"/>
      <c r="T66" s="230" t="str">
        <f>HLOOKUP(T$1,КАФЕДРА!$DE$1:$EH$75,$B66,0)</f>
        <v>КМЕДИЦИНЫ</v>
      </c>
      <c r="U66" s="161" t="e">
        <f>HLOOKUP(U$1,КАФЕДРА!$CP$1:$EH$75,$B66,0)</f>
        <v>#REF!</v>
      </c>
      <c r="V66" s="161" t="e">
        <f>HLOOKUP(V$1,КАФЕДРА!$CP$1:$EH$75,$B66,0)</f>
        <v>#REF!</v>
      </c>
      <c r="W66" s="161" t="e">
        <f>HLOOKUP(W$1,КАФЕДРА!$CP$1:$EH$75,$B66,0)</f>
        <v>#REF!</v>
      </c>
    </row>
    <row r="67" spans="1:23" ht="30" x14ac:dyDescent="0.2">
      <c r="A67" s="457"/>
      <c r="B67" s="31">
        <v>29</v>
      </c>
      <c r="C67" s="230" t="str">
        <f>HLOOKUP(C$1,КАФЕДРА!$DE$1:$EH$77,$B67,0)</f>
        <v>Поликлинической терапии</v>
      </c>
      <c r="D67" s="554" t="e">
        <f>HLOOKUP(D$1,КАФЕДРА!$DE$1:$EH$75,$B67,0)</f>
        <v>#DIV/0!</v>
      </c>
      <c r="E67" s="554" t="e">
        <f>HLOOKUP(E$1,КАФЕДРА!$DE$1:$EH$75,$B67,0)</f>
        <v>#DIV/0!</v>
      </c>
      <c r="F67" s="554" t="e">
        <f>HLOOKUP(F$1,КАФЕДРА!$DE$1:$EH$75,$B67,0)</f>
        <v>#DIV/0!</v>
      </c>
      <c r="G67" s="554" t="e">
        <f>HLOOKUP(G$1,КАФЕДРА!$DE$1:$EH$75,$B67,0)</f>
        <v>#DIV/0!</v>
      </c>
      <c r="H67" s="554" t="e">
        <f>HLOOKUP(H$1,КАФЕДРА!$DE$1:$EH$75,$B67,0)</f>
        <v>#DIV/0!</v>
      </c>
      <c r="I67" s="554" t="e">
        <f>HLOOKUP(I$1,КАФЕДРА!$DE$1:$EH$75,$B67,0)</f>
        <v>#DIV/0!</v>
      </c>
      <c r="J67" s="639" t="e">
        <f>HLOOKUP(J$1,'Реестр ППС'!#REF!,$B67,0)</f>
        <v>#REF!</v>
      </c>
      <c r="K67" s="639" t="str">
        <f>HLOOKUP(K$1,' "Вуз зож"'!$S$1:$U$75,$B67,0)</f>
        <v>0,0%
=0,0/7,0</v>
      </c>
      <c r="L67" s="554" t="e">
        <f>HLOOKUP(L$1,КАФЕДРА!$DE$1:$EH$75,$B67,0)</f>
        <v>#REF!</v>
      </c>
      <c r="M67" s="554"/>
      <c r="N67" s="554"/>
      <c r="O67" s="229" t="e">
        <f>ROUND(HLOOKUP(O$1,КАФЕДРА!$CY$1:$EH$75,$B67,0)+M67+N67,1)</f>
        <v>#REF!</v>
      </c>
      <c r="P67" s="507" t="e">
        <f t="shared" si="2"/>
        <v>#REF!</v>
      </c>
      <c r="Q67" s="227"/>
      <c r="R67" s="227"/>
      <c r="S67" s="227"/>
      <c r="T67" s="230" t="str">
        <f>HLOOKUP(T$1,КАФЕДРА!$DE$1:$EH$75,$B67,0)</f>
        <v>КМЕДИЦИНЫ</v>
      </c>
      <c r="U67" s="161" t="e">
        <f>HLOOKUP(U$1,КАФЕДРА!$CP$1:$EH$75,$B67,0)</f>
        <v>#REF!</v>
      </c>
      <c r="V67" s="161" t="e">
        <f>HLOOKUP(V$1,КАФЕДРА!$CP$1:$EH$75,$B67,0)</f>
        <v>#REF!</v>
      </c>
      <c r="W67" s="161" t="e">
        <f>HLOOKUP(W$1,КАФЕДРА!$CP$1:$EH$75,$B67,0)</f>
        <v>#REF!</v>
      </c>
    </row>
    <row r="68" spans="1:23" ht="45" x14ac:dyDescent="0.2">
      <c r="A68" s="457"/>
      <c r="B68" s="31">
        <v>30</v>
      </c>
      <c r="C68" s="230" t="str">
        <f>HLOOKUP(C$1,КАФЕДРА!$DE$1:$EH$77,$B68,0)</f>
        <v>Пропедевтики внутренних болезней имени профессора З.С. Баркагана</v>
      </c>
      <c r="D68" s="554" t="e">
        <f>HLOOKUP(D$1,КАФЕДРА!$DE$1:$EH$75,$B68,0)</f>
        <v>#DIV/0!</v>
      </c>
      <c r="E68" s="554" t="e">
        <f>HLOOKUP(E$1,КАФЕДРА!$DE$1:$EH$75,$B68,0)</f>
        <v>#DIV/0!</v>
      </c>
      <c r="F68" s="554" t="e">
        <f>HLOOKUP(F$1,КАФЕДРА!$DE$1:$EH$75,$B68,0)</f>
        <v>#DIV/0!</v>
      </c>
      <c r="G68" s="554" t="e">
        <f>HLOOKUP(G$1,КАФЕДРА!$DE$1:$EH$75,$B68,0)</f>
        <v>#DIV/0!</v>
      </c>
      <c r="H68" s="554" t="e">
        <f>HLOOKUP(H$1,КАФЕДРА!$DE$1:$EH$75,$B68,0)</f>
        <v>#DIV/0!</v>
      </c>
      <c r="I68" s="554" t="e">
        <f>HLOOKUP(I$1,КАФЕДРА!$DE$1:$EH$75,$B68,0)</f>
        <v>#DIV/0!</v>
      </c>
      <c r="J68" s="639" t="e">
        <f>HLOOKUP(J$1,'Реестр ППС'!#REF!,$B68,0)</f>
        <v>#REF!</v>
      </c>
      <c r="K68" s="639" t="str">
        <f>HLOOKUP(K$1,' "Вуз зож"'!$S$1:$U$75,$B68,0)</f>
        <v>0,0%
=0,0/7,0</v>
      </c>
      <c r="L68" s="554" t="e">
        <f>HLOOKUP(L$1,КАФЕДРА!$DE$1:$EH$75,$B68,0)</f>
        <v>#REF!</v>
      </c>
      <c r="M68" s="554"/>
      <c r="N68" s="554"/>
      <c r="O68" s="229" t="e">
        <f>ROUND(HLOOKUP(O$1,КАФЕДРА!$CY$1:$EH$75,$B68,0)+M68+N68,1)</f>
        <v>#REF!</v>
      </c>
      <c r="P68" s="507" t="e">
        <f t="shared" si="2"/>
        <v>#REF!</v>
      </c>
      <c r="Q68" s="227"/>
      <c r="R68" s="227"/>
      <c r="S68" s="227"/>
      <c r="T68" s="230" t="str">
        <f>HLOOKUP(T$1,КАФЕДРА!$DE$1:$EH$75,$B68,0)</f>
        <v>КМЕДИЦИНЫ</v>
      </c>
      <c r="U68" s="161" t="e">
        <f>HLOOKUP(U$1,КАФЕДРА!$CP$1:$EH$75,$B68,0)</f>
        <v>#REF!</v>
      </c>
      <c r="V68" s="161" t="e">
        <f>HLOOKUP(V$1,КАФЕДРА!$CP$1:$EH$75,$B68,0)</f>
        <v>#REF!</v>
      </c>
      <c r="W68" s="161" t="e">
        <f>HLOOKUP(W$1,КАФЕДРА!$CP$1:$EH$75,$B68,0)</f>
        <v>#REF!</v>
      </c>
    </row>
    <row r="69" spans="1:23" ht="30" x14ac:dyDescent="0.2">
      <c r="A69" s="457"/>
      <c r="B69" s="31">
        <v>31</v>
      </c>
      <c r="C69" s="230" t="str">
        <f>HLOOKUP(C$1,КАФЕДРА!$DE$1:$EH$77,$B69,0)</f>
        <v>Терапии и общей врачебной практики с курсом ДПО</v>
      </c>
      <c r="D69" s="554" t="e">
        <f>HLOOKUP(D$1,КАФЕДРА!$DE$1:$EH$75,$B69,0)</f>
        <v>#DIV/0!</v>
      </c>
      <c r="E69" s="554" t="e">
        <f>HLOOKUP(E$1,КАФЕДРА!$DE$1:$EH$75,$B69,0)</f>
        <v>#DIV/0!</v>
      </c>
      <c r="F69" s="554" t="e">
        <f>HLOOKUP(F$1,КАФЕДРА!$DE$1:$EH$75,$B69,0)</f>
        <v>#DIV/0!</v>
      </c>
      <c r="G69" s="554" t="e">
        <f>HLOOKUP(G$1,КАФЕДРА!$DE$1:$EH$75,$B69,0)</f>
        <v>#DIV/0!</v>
      </c>
      <c r="H69" s="554" t="e">
        <f>HLOOKUP(H$1,КАФЕДРА!$DE$1:$EH$75,$B69,0)</f>
        <v>#DIV/0!</v>
      </c>
      <c r="I69" s="554" t="e">
        <f>HLOOKUP(I$1,КАФЕДРА!$DE$1:$EH$75,$B69,0)</f>
        <v>#DIV/0!</v>
      </c>
      <c r="J69" s="639" t="e">
        <f>HLOOKUP(J$1,'Реестр ППС'!#REF!,$B69,0)</f>
        <v>#REF!</v>
      </c>
      <c r="K69" s="639" t="str">
        <f>HLOOKUP(K$1,' "Вуз зож"'!$S$1:$U$75,$B69,0)</f>
        <v>0,0%
=0,0/7,0</v>
      </c>
      <c r="L69" s="554" t="e">
        <f>HLOOKUP(L$1,КАФЕДРА!$DE$1:$EH$75,$B69,0)</f>
        <v>#REF!</v>
      </c>
      <c r="M69" s="554"/>
      <c r="N69" s="554"/>
      <c r="O69" s="229" t="e">
        <f>ROUND(HLOOKUP(O$1,КАФЕДРА!$CY$1:$EH$75,$B69,0)+M69+N69,1)</f>
        <v>#REF!</v>
      </c>
      <c r="P69" s="507" t="e">
        <f t="shared" si="2"/>
        <v>#REF!</v>
      </c>
      <c r="Q69" s="227"/>
      <c r="R69" s="227"/>
      <c r="S69" s="227"/>
      <c r="T69" s="230" t="str">
        <f>HLOOKUP(T$1,КАФЕДРА!$DE$1:$EH$75,$B69,0)</f>
        <v>КМЕДИЦИНЫ</v>
      </c>
      <c r="U69" s="161" t="e">
        <f>HLOOKUP(U$1,КАФЕДРА!$CP$1:$EH$75,$B69,0)</f>
        <v>#REF!</v>
      </c>
      <c r="V69" s="161" t="e">
        <f>HLOOKUP(V$1,КАФЕДРА!$CP$1:$EH$75,$B69,0)</f>
        <v>#REF!</v>
      </c>
      <c r="W69" s="161" t="e">
        <f>HLOOKUP(W$1,КАФЕДРА!$CP$1:$EH$75,$B69,0)</f>
        <v>#REF!</v>
      </c>
    </row>
    <row r="70" spans="1:23" ht="30" x14ac:dyDescent="0.2">
      <c r="A70" s="457"/>
      <c r="B70" s="31">
        <v>32</v>
      </c>
      <c r="C70" s="230" t="str">
        <f>HLOOKUP(C$1,КАФЕДРА!$DE$1:$EH$77,$B70,0)</f>
        <v>Травматологии и ортопедии</v>
      </c>
      <c r="D70" s="554" t="e">
        <f>HLOOKUP(D$1,КАФЕДРА!$DE$1:$EH$75,$B70,0)</f>
        <v>#DIV/0!</v>
      </c>
      <c r="E70" s="554" t="e">
        <f>HLOOKUP(E$1,КАФЕДРА!$DE$1:$EH$75,$B70,0)</f>
        <v>#DIV/0!</v>
      </c>
      <c r="F70" s="554" t="e">
        <f>HLOOKUP(F$1,КАФЕДРА!$DE$1:$EH$75,$B70,0)</f>
        <v>#DIV/0!</v>
      </c>
      <c r="G70" s="554" t="e">
        <f>HLOOKUP(G$1,КАФЕДРА!$DE$1:$EH$75,$B70,0)</f>
        <v>#DIV/0!</v>
      </c>
      <c r="H70" s="554" t="e">
        <f>HLOOKUP(H$1,КАФЕДРА!$DE$1:$EH$75,$B70,0)</f>
        <v>#DIV/0!</v>
      </c>
      <c r="I70" s="554" t="e">
        <f>HLOOKUP(I$1,КАФЕДРА!$DE$1:$EH$75,$B70,0)</f>
        <v>#DIV/0!</v>
      </c>
      <c r="J70" s="639" t="e">
        <f>HLOOKUP(J$1,'Реестр ППС'!#REF!,$B70,0)</f>
        <v>#REF!</v>
      </c>
      <c r="K70" s="639" t="str">
        <f>HLOOKUP(K$1,' "Вуз зож"'!$S$1:$U$75,$B70,0)</f>
        <v>0,0%
=0,0/7,0</v>
      </c>
      <c r="L70" s="554" t="e">
        <f>HLOOKUP(L$1,КАФЕДРА!$DE$1:$EH$75,$B70,0)</f>
        <v>#REF!</v>
      </c>
      <c r="M70" s="554"/>
      <c r="N70" s="554"/>
      <c r="O70" s="229" t="e">
        <f>ROUND(HLOOKUP(O$1,КАФЕДРА!$CY$1:$EH$75,$B70,0)+M70+N70,1)</f>
        <v>#REF!</v>
      </c>
      <c r="P70" s="507" t="e">
        <f t="shared" si="2"/>
        <v>#REF!</v>
      </c>
      <c r="Q70" s="227"/>
      <c r="R70" s="227"/>
      <c r="S70" s="227"/>
      <c r="T70" s="230" t="str">
        <f>HLOOKUP(T$1,КАФЕДРА!$DE$1:$EH$75,$B70,0)</f>
        <v>КМЕДИЦИНЫ</v>
      </c>
      <c r="U70" s="161" t="e">
        <f>HLOOKUP(U$1,КАФЕДРА!$CP$1:$EH$75,$B70,0)</f>
        <v>#REF!</v>
      </c>
      <c r="V70" s="161" t="e">
        <f>HLOOKUP(V$1,КАФЕДРА!$CP$1:$EH$75,$B70,0)</f>
        <v>#REF!</v>
      </c>
      <c r="W70" s="161" t="e">
        <f>HLOOKUP(W$1,КАФЕДРА!$CP$1:$EH$75,$B70,0)</f>
        <v>#REF!</v>
      </c>
    </row>
    <row r="71" spans="1:23" ht="45" x14ac:dyDescent="0.2">
      <c r="A71" s="457"/>
      <c r="B71" s="31">
        <v>33</v>
      </c>
      <c r="C71" s="230" t="str">
        <f>HLOOKUP(C$1,КАФЕДРА!$DE$1:$EH$77,$B71,0)</f>
        <v>Ультразвуковой и функциональной диагностики с курсом ДПО</v>
      </c>
      <c r="D71" s="554" t="e">
        <f>HLOOKUP(D$1,КАФЕДРА!$DE$1:$EH$75,$B71,0)</f>
        <v>#DIV/0!</v>
      </c>
      <c r="E71" s="554" t="e">
        <f>HLOOKUP(E$1,КАФЕДРА!$DE$1:$EH$75,$B71,0)</f>
        <v>#DIV/0!</v>
      </c>
      <c r="F71" s="554" t="e">
        <f>HLOOKUP(F$1,КАФЕДРА!$DE$1:$EH$75,$B71,0)</f>
        <v>#DIV/0!</v>
      </c>
      <c r="G71" s="554" t="e">
        <f>HLOOKUP(G$1,КАФЕДРА!$DE$1:$EH$75,$B71,0)</f>
        <v>#DIV/0!</v>
      </c>
      <c r="H71" s="554" t="e">
        <f>HLOOKUP(H$1,КАФЕДРА!$DE$1:$EH$75,$B71,0)</f>
        <v>#DIV/0!</v>
      </c>
      <c r="I71" s="554" t="e">
        <f>HLOOKUP(I$1,КАФЕДРА!$DE$1:$EH$75,$B71,0)</f>
        <v>#DIV/0!</v>
      </c>
      <c r="J71" s="639" t="e">
        <f>HLOOKUP(J$1,'Реестр ППС'!#REF!,$B71,0)</f>
        <v>#REF!</v>
      </c>
      <c r="K71" s="639" t="str">
        <f>HLOOKUP(K$1,' "Вуз зож"'!$S$1:$U$75,$B71,0)</f>
        <v>0,0%
=0,0/7,0</v>
      </c>
      <c r="L71" s="554" t="e">
        <f>HLOOKUP(L$1,КАФЕДРА!$DE$1:$EH$75,$B71,0)</f>
        <v>#REF!</v>
      </c>
      <c r="M71" s="554"/>
      <c r="N71" s="554"/>
      <c r="O71" s="229" t="e">
        <f>ROUND(HLOOKUP(O$1,КАФЕДРА!$CY$1:$EH$75,$B71,0)+M71+N71,1)</f>
        <v>#REF!</v>
      </c>
      <c r="P71" s="507" t="e">
        <f t="shared" si="2"/>
        <v>#REF!</v>
      </c>
      <c r="Q71" s="227"/>
      <c r="R71" s="227"/>
      <c r="S71" s="227"/>
      <c r="T71" s="230" t="str">
        <f>HLOOKUP(T$1,КАФЕДРА!$DE$1:$EH$75,$B71,0)</f>
        <v>КМЕДИЦИНЫ</v>
      </c>
      <c r="U71" s="161" t="e">
        <f>HLOOKUP(U$1,КАФЕДРА!$CP$1:$EH$75,$B71,0)</f>
        <v>#REF!</v>
      </c>
      <c r="V71" s="161" t="e">
        <f>HLOOKUP(V$1,КАФЕДРА!$CP$1:$EH$75,$B71,0)</f>
        <v>#REF!</v>
      </c>
      <c r="W71" s="161" t="e">
        <f>HLOOKUP(W$1,КАФЕДРА!$CP$1:$EH$75,$B71,0)</f>
        <v>#REF!</v>
      </c>
    </row>
    <row r="72" spans="1:23" ht="30" x14ac:dyDescent="0.2">
      <c r="A72" s="457"/>
      <c r="B72" s="31">
        <v>34</v>
      </c>
      <c r="C72" s="230" t="str">
        <f>HLOOKUP(C$1,КАФЕДРА!$DE$1:$EH$77,$B72,0)</f>
        <v>Урологии и андрологии с курсом ДПО</v>
      </c>
      <c r="D72" s="554" t="e">
        <f>HLOOKUP(D$1,КАФЕДРА!$DE$1:$EH$75,$B72,0)</f>
        <v>#DIV/0!</v>
      </c>
      <c r="E72" s="554" t="e">
        <f>HLOOKUP(E$1,КАФЕДРА!$DE$1:$EH$75,$B72,0)</f>
        <v>#DIV/0!</v>
      </c>
      <c r="F72" s="554" t="e">
        <f>HLOOKUP(F$1,КАФЕДРА!$DE$1:$EH$75,$B72,0)</f>
        <v>#DIV/0!</v>
      </c>
      <c r="G72" s="554" t="e">
        <f>HLOOKUP(G$1,КАФЕДРА!$DE$1:$EH$75,$B72,0)</f>
        <v>#DIV/0!</v>
      </c>
      <c r="H72" s="554" t="e">
        <f>HLOOKUP(H$1,КАФЕДРА!$DE$1:$EH$75,$B72,0)</f>
        <v>#DIV/0!</v>
      </c>
      <c r="I72" s="554" t="e">
        <f>HLOOKUP(I$1,КАФЕДРА!$DE$1:$EH$75,$B72,0)</f>
        <v>#DIV/0!</v>
      </c>
      <c r="J72" s="639" t="e">
        <f>HLOOKUP(J$1,'Реестр ППС'!#REF!,$B72,0)</f>
        <v>#REF!</v>
      </c>
      <c r="K72" s="639" t="str">
        <f>HLOOKUP(K$1,' "Вуз зож"'!$S$1:$U$75,$B72,0)</f>
        <v>0,0%
=0,0/7,0</v>
      </c>
      <c r="L72" s="554" t="e">
        <f>HLOOKUP(L$1,КАФЕДРА!$DE$1:$EH$75,$B72,0)</f>
        <v>#REF!</v>
      </c>
      <c r="M72" s="866"/>
      <c r="N72" s="554"/>
      <c r="O72" s="229" t="e">
        <f>ROUND(HLOOKUP(O$1,КАФЕДРА!$CY$1:$EH$75,$B72,0)+M72+N72,1)</f>
        <v>#REF!</v>
      </c>
      <c r="P72" s="507" t="e">
        <f t="shared" si="2"/>
        <v>#REF!</v>
      </c>
      <c r="Q72" s="227"/>
      <c r="R72" s="227"/>
      <c r="S72" s="227"/>
      <c r="T72" s="230" t="str">
        <f>HLOOKUP(T$1,КАФЕДРА!$DE$1:$EH$75,$B72,0)</f>
        <v>КМЕДИЦИНЫ</v>
      </c>
      <c r="U72" s="161" t="e">
        <f>HLOOKUP(U$1,КАФЕДРА!$CP$1:$EH$75,$B72,0)</f>
        <v>#REF!</v>
      </c>
      <c r="V72" s="161" t="e">
        <f>HLOOKUP(V$1,КАФЕДРА!$CP$1:$EH$75,$B72,0)</f>
        <v>#REF!</v>
      </c>
      <c r="W72" s="161" t="e">
        <f>HLOOKUP(W$1,КАФЕДРА!$CP$1:$EH$75,$B72,0)</f>
        <v>#REF!</v>
      </c>
    </row>
    <row r="73" spans="1:23" ht="30" x14ac:dyDescent="0.2">
      <c r="A73" s="457"/>
      <c r="B73" s="31">
        <v>35</v>
      </c>
      <c r="C73" s="230" t="str">
        <f>HLOOKUP(C$1,КАФЕДРА!$DE$1:$EH$77,$B73,0)</f>
        <v>Факультетской терапии и профессиональных болезней</v>
      </c>
      <c r="D73" s="554" t="e">
        <f>HLOOKUP(D$1,КАФЕДРА!$DE$1:$EH$75,$B73,0)</f>
        <v>#DIV/0!</v>
      </c>
      <c r="E73" s="554" t="e">
        <f>HLOOKUP(E$1,КАФЕДРА!$DE$1:$EH$75,$B73,0)</f>
        <v>#DIV/0!</v>
      </c>
      <c r="F73" s="554" t="e">
        <f>HLOOKUP(F$1,КАФЕДРА!$DE$1:$EH$75,$B73,0)</f>
        <v>#DIV/0!</v>
      </c>
      <c r="G73" s="554" t="e">
        <f>HLOOKUP(G$1,КАФЕДРА!$DE$1:$EH$75,$B73,0)</f>
        <v>#DIV/0!</v>
      </c>
      <c r="H73" s="554" t="e">
        <f>HLOOKUP(H$1,КАФЕДРА!$DE$1:$EH$75,$B73,0)</f>
        <v>#DIV/0!</v>
      </c>
      <c r="I73" s="554" t="e">
        <f>HLOOKUP(I$1,КАФЕДРА!$DE$1:$EH$75,$B73,0)</f>
        <v>#DIV/0!</v>
      </c>
      <c r="J73" s="639" t="e">
        <f>HLOOKUP(J$1,'Реестр ППС'!#REF!,$B73,0)</f>
        <v>#REF!</v>
      </c>
      <c r="K73" s="639" t="str">
        <f>HLOOKUP(K$1,' "Вуз зож"'!$S$1:$U$75,$B73,0)</f>
        <v>0,0%
=0,0/7,0</v>
      </c>
      <c r="L73" s="554" t="e">
        <f>HLOOKUP(L$1,КАФЕДРА!$DE$1:$EH$75,$B73,0)</f>
        <v>#REF!</v>
      </c>
      <c r="M73" s="554"/>
      <c r="N73" s="554"/>
      <c r="O73" s="229" t="e">
        <f>ROUND(HLOOKUP(O$1,КАФЕДРА!$CY$1:$EH$75,$B73,0)+M73+N73,1)</f>
        <v>#REF!</v>
      </c>
      <c r="P73" s="507" t="e">
        <f t="shared" si="2"/>
        <v>#REF!</v>
      </c>
      <c r="Q73" s="227"/>
      <c r="R73" s="227"/>
      <c r="S73" s="227"/>
      <c r="T73" s="230" t="str">
        <f>HLOOKUP(T$1,КАФЕДРА!$DE$1:$EH$75,$B73,0)</f>
        <v>КМЕДИЦИНЫ</v>
      </c>
      <c r="U73" s="161" t="e">
        <f>HLOOKUP(U$1,КАФЕДРА!$CP$1:$EH$75,$B73,0)</f>
        <v>#REF!</v>
      </c>
      <c r="V73" s="161" t="e">
        <f>HLOOKUP(V$1,КАФЕДРА!$CP$1:$EH$75,$B73,0)</f>
        <v>#REF!</v>
      </c>
      <c r="W73" s="161" t="e">
        <f>HLOOKUP(W$1,КАФЕДРА!$CP$1:$EH$75,$B73,0)</f>
        <v>#REF!</v>
      </c>
    </row>
    <row r="74" spans="1:23" ht="45.75" thickBot="1" x14ac:dyDescent="0.25">
      <c r="A74" s="457"/>
      <c r="B74" s="31">
        <v>36</v>
      </c>
      <c r="C74" s="1499" t="str">
        <f>HLOOKUP(C$1,КАФЕДРА!$DE$1:$EH$77,$B74,0)</f>
        <v>Факультетской хирургии имени профессора И.И. Неймарка с курсом ДПО</v>
      </c>
      <c r="D74" s="750" t="e">
        <f>HLOOKUP(D$1,КАФЕДРА!$DE$1:$EH$75,$B74,0)</f>
        <v>#DIV/0!</v>
      </c>
      <c r="E74" s="750" t="e">
        <f>HLOOKUP(E$1,КАФЕДРА!$DE$1:$EH$75,$B74,0)</f>
        <v>#DIV/0!</v>
      </c>
      <c r="F74" s="750" t="e">
        <f>HLOOKUP(F$1,КАФЕДРА!$DE$1:$EH$75,$B74,0)</f>
        <v>#DIV/0!</v>
      </c>
      <c r="G74" s="750" t="e">
        <f>HLOOKUP(G$1,КАФЕДРА!$DE$1:$EH$75,$B74,0)</f>
        <v>#DIV/0!</v>
      </c>
      <c r="H74" s="750" t="e">
        <f>HLOOKUP(H$1,КАФЕДРА!$DE$1:$EH$75,$B74,0)</f>
        <v>#DIV/0!</v>
      </c>
      <c r="I74" s="750" t="e">
        <f>HLOOKUP(I$1,КАФЕДРА!$DE$1:$EH$75,$B74,0)</f>
        <v>#DIV/0!</v>
      </c>
      <c r="J74" s="750" t="e">
        <f>HLOOKUP(J$1,'Реестр ППС'!#REF!,$B74,0)</f>
        <v>#REF!</v>
      </c>
      <c r="K74" s="750" t="str">
        <f>HLOOKUP(K$1,' "Вуз зож"'!$S$1:$U$75,$B74,0)</f>
        <v>0,0%
=0,0/7,0</v>
      </c>
      <c r="L74" s="750" t="e">
        <f>HLOOKUP(L$1,КАФЕДРА!$DE$1:$EH$75,$B74,0)</f>
        <v>#REF!</v>
      </c>
      <c r="M74" s="750"/>
      <c r="N74" s="750"/>
      <c r="O74" s="751" t="e">
        <f>ROUND(HLOOKUP(O$1,КАФЕДРА!$CY$1:$EH$75,$B74,0)+M74+N74,1)</f>
        <v>#REF!</v>
      </c>
      <c r="P74" s="507" t="e">
        <f t="shared" si="2"/>
        <v>#REF!</v>
      </c>
      <c r="Q74" s="227"/>
      <c r="R74" s="227"/>
      <c r="S74" s="227"/>
      <c r="T74" s="230" t="str">
        <f>HLOOKUP(T$1,КАФЕДРА!$DE$1:$EH$75,$B74,0)</f>
        <v>КМЕДИЦИНЫ</v>
      </c>
      <c r="U74" s="161" t="e">
        <f>HLOOKUP(U$1,КАФЕДРА!$CP$1:$EH$75,$B74,0)</f>
        <v>#REF!</v>
      </c>
      <c r="V74" s="161" t="e">
        <f>HLOOKUP(V$1,КАФЕДРА!$CP$1:$EH$75,$B74,0)</f>
        <v>#REF!</v>
      </c>
      <c r="W74" s="161" t="e">
        <f>HLOOKUP(W$1,КАФЕДРА!$CP$1:$EH$75,$B74,0)</f>
        <v>#REF!</v>
      </c>
    </row>
    <row r="75" spans="1:23" ht="30" x14ac:dyDescent="0.2">
      <c r="A75" s="457"/>
      <c r="B75" s="31">
        <v>37</v>
      </c>
      <c r="C75" s="1498" t="str">
        <f>HLOOKUP(C$1,КАФЕДРА!$DE$1:$EH$77,$B75,0)</f>
        <v>Госпитальной педиатрии с курсом ДПО</v>
      </c>
      <c r="D75" s="748" t="e">
        <f>HLOOKUP(D$1,КАФЕДРА!$DE$1:$EH$75,$B75,0)</f>
        <v>#DIV/0!</v>
      </c>
      <c r="E75" s="748" t="e">
        <f>HLOOKUP(E$1,КАФЕДРА!$DE$1:$EH$75,$B75,0)</f>
        <v>#DIV/0!</v>
      </c>
      <c r="F75" s="748" t="e">
        <f>HLOOKUP(F$1,КАФЕДРА!$DE$1:$EH$75,$B75,0)</f>
        <v>#DIV/0!</v>
      </c>
      <c r="G75" s="748" t="e">
        <f>HLOOKUP(G$1,КАФЕДРА!$DE$1:$EH$75,$B75,0)</f>
        <v>#DIV/0!</v>
      </c>
      <c r="H75" s="748" t="e">
        <f>HLOOKUP(H$1,КАФЕДРА!$DE$1:$EH$75,$B75,0)</f>
        <v>#DIV/0!</v>
      </c>
      <c r="I75" s="748" t="e">
        <f>HLOOKUP(I$1,КАФЕДРА!$DE$1:$EH$75,$B75,0)</f>
        <v>#DIV/0!</v>
      </c>
      <c r="J75" s="748" t="e">
        <f>HLOOKUP(J$1,'Реестр ППС'!#REF!,$B75,0)</f>
        <v>#REF!</v>
      </c>
      <c r="K75" s="748" t="str">
        <f>HLOOKUP(K$1,' "Вуз зож"'!$S$1:$U$75,$B75,0)</f>
        <v>0,0%
=0,0/7,0</v>
      </c>
      <c r="L75" s="748" t="e">
        <f>HLOOKUP(L$1,КАФЕДРА!$DE$1:$EH$75,$B75,0)</f>
        <v>#REF!</v>
      </c>
      <c r="M75" s="748"/>
      <c r="N75" s="748"/>
      <c r="O75" s="749" t="e">
        <f>ROUND(HLOOKUP(O$1,КАФЕДРА!$CY$1:$EH$75,$B75,0)+M75+N75,1)</f>
        <v>#REF!</v>
      </c>
      <c r="P75" s="507" t="e">
        <f t="shared" si="2"/>
        <v>#REF!</v>
      </c>
      <c r="Q75" s="227"/>
      <c r="R75" s="227"/>
      <c r="S75" s="227"/>
      <c r="T75" s="230" t="str">
        <f>HLOOKUP(T$1,КАФЕДРА!$DE$1:$EH$75,$B75,0)</f>
        <v>ПЕДИАТРИИ</v>
      </c>
      <c r="U75" s="161" t="e">
        <f>HLOOKUP(U$1,КАФЕДРА!$CP$1:$EH$75,$B75,0)</f>
        <v>#REF!</v>
      </c>
      <c r="V75" s="161" t="e">
        <f>HLOOKUP(V$1,КАФЕДРА!$CP$1:$EH$75,$B75,0)</f>
        <v>#REF!</v>
      </c>
      <c r="W75" s="161" t="e">
        <f>HLOOKUP(W$1,КАФЕДРА!$CP$1:$EH$75,$B75,0)</f>
        <v>#REF!</v>
      </c>
    </row>
    <row r="76" spans="1:23" ht="30" x14ac:dyDescent="0.2">
      <c r="A76" s="457"/>
      <c r="B76" s="31">
        <v>38</v>
      </c>
      <c r="C76" s="230" t="str">
        <f>HLOOKUP(C$1,КАФЕДРА!$DE$1:$EH$77,$B76,0)</f>
        <v>Лучевой диагностики и эндоскопии с курсом ДПО</v>
      </c>
      <c r="D76" s="554" t="e">
        <f>HLOOKUP(D$1,КАФЕДРА!$DE$1:$EH$75,$B76,0)</f>
        <v>#DIV/0!</v>
      </c>
      <c r="E76" s="554" t="e">
        <f>HLOOKUP(E$1,КАФЕДРА!$DE$1:$EH$75,$B76,0)</f>
        <v>#DIV/0!</v>
      </c>
      <c r="F76" s="554" t="e">
        <f>HLOOKUP(F$1,КАФЕДРА!$DE$1:$EH$75,$B76,0)</f>
        <v>#DIV/0!</v>
      </c>
      <c r="G76" s="554" t="e">
        <f>HLOOKUP(G$1,КАФЕДРА!$DE$1:$EH$75,$B76,0)</f>
        <v>#DIV/0!</v>
      </c>
      <c r="H76" s="554" t="e">
        <f>HLOOKUP(H$1,КАФЕДРА!$DE$1:$EH$75,$B76,0)</f>
        <v>#DIV/0!</v>
      </c>
      <c r="I76" s="554" t="e">
        <f>HLOOKUP(I$1,КАФЕДРА!$DE$1:$EH$75,$B76,0)</f>
        <v>#DIV/0!</v>
      </c>
      <c r="J76" s="639" t="e">
        <f>HLOOKUP(J$1,'Реестр ППС'!#REF!,$B76,0)</f>
        <v>#REF!</v>
      </c>
      <c r="K76" s="639" t="str">
        <f>HLOOKUP(K$1,' "Вуз зож"'!$S$1:$U$75,$B76,0)</f>
        <v>0,0%
=0,0/7,0</v>
      </c>
      <c r="L76" s="554" t="e">
        <f>HLOOKUP(L$1,КАФЕДРА!$DE$1:$EH$75,$B76,0)</f>
        <v>#REF!</v>
      </c>
      <c r="M76" s="554"/>
      <c r="N76" s="554"/>
      <c r="O76" s="229" t="e">
        <f>ROUND(HLOOKUP(O$1,КАФЕДРА!$CY$1:$EH$75,$B76,0)+M76+N76,1)</f>
        <v>#REF!</v>
      </c>
      <c r="P76" s="507" t="e">
        <f t="shared" si="2"/>
        <v>#REF!</v>
      </c>
      <c r="Q76" s="227"/>
      <c r="R76" s="227"/>
      <c r="S76" s="227"/>
      <c r="T76" s="230" t="str">
        <f>HLOOKUP(T$1,КАФЕДРА!$DE$1:$EH$75,$B76,0)</f>
        <v>ПЕДИАТРИИ</v>
      </c>
      <c r="U76" s="161" t="e">
        <f>HLOOKUP(U$1,КАФЕДРА!$CP$1:$EH$75,$B76,0)</f>
        <v>#REF!</v>
      </c>
      <c r="V76" s="161" t="e">
        <f>HLOOKUP(V$1,КАФЕДРА!$CP$1:$EH$75,$B76,0)</f>
        <v>#REF!</v>
      </c>
      <c r="W76" s="161" t="e">
        <f>HLOOKUP(W$1,КАФЕДРА!$CP$1:$EH$75,$B76,0)</f>
        <v>#REF!</v>
      </c>
    </row>
    <row r="77" spans="1:23" ht="30" x14ac:dyDescent="0.2">
      <c r="A77" s="457"/>
      <c r="B77" s="31">
        <v>39</v>
      </c>
      <c r="C77" s="230" t="str">
        <f>HLOOKUP(C$1,КАФЕДРА!$DE$1:$EH$77,$B77,0)</f>
        <v>Неонатологии и детской анестезиологии с курсом ДПО</v>
      </c>
      <c r="D77" s="554" t="e">
        <f>HLOOKUP(D$1,КАФЕДРА!$DE$1:$EH$75,$B77,0)</f>
        <v>#DIV/0!</v>
      </c>
      <c r="E77" s="554" t="e">
        <f>HLOOKUP(E$1,КАФЕДРА!$DE$1:$EH$75,$B77,0)</f>
        <v>#DIV/0!</v>
      </c>
      <c r="F77" s="554" t="e">
        <f>HLOOKUP(F$1,КАФЕДРА!$DE$1:$EH$75,$B77,0)</f>
        <v>#DIV/0!</v>
      </c>
      <c r="G77" s="554" t="e">
        <f>HLOOKUP(G$1,КАФЕДРА!$DE$1:$EH$75,$B77,0)</f>
        <v>#DIV/0!</v>
      </c>
      <c r="H77" s="554" t="e">
        <f>HLOOKUP(H$1,КАФЕДРА!$DE$1:$EH$75,$B77,0)</f>
        <v>#DIV/0!</v>
      </c>
      <c r="I77" s="554" t="e">
        <f>HLOOKUP(I$1,КАФЕДРА!$DE$1:$EH$75,$B77,0)</f>
        <v>#DIV/0!</v>
      </c>
      <c r="J77" s="639" t="e">
        <f>HLOOKUP(J$1,'Реестр ППС'!#REF!,$B77,0)</f>
        <v>#REF!</v>
      </c>
      <c r="K77" s="639" t="str">
        <f>HLOOKUP(K$1,' "Вуз зож"'!$S$1:$U$75,$B77,0)</f>
        <v>0,0%
=0,0/7,0</v>
      </c>
      <c r="L77" s="554" t="e">
        <f>HLOOKUP(L$1,КАФЕДРА!$DE$1:$EH$75,$B77,0)</f>
        <v>#REF!</v>
      </c>
      <c r="M77" s="554"/>
      <c r="N77" s="554"/>
      <c r="O77" s="229" t="e">
        <f>ROUND(HLOOKUP(O$1,КАФЕДРА!$CY$1:$EH$75,$B77,0)+M77+N77,1)</f>
        <v>#REF!</v>
      </c>
      <c r="P77" s="507" t="e">
        <f t="shared" si="2"/>
        <v>#REF!</v>
      </c>
      <c r="Q77" s="227"/>
      <c r="R77" s="227"/>
      <c r="S77" s="227"/>
      <c r="T77" s="230" t="str">
        <f>HLOOKUP(T$1,КАФЕДРА!$DE$1:$EH$75,$B77,0)</f>
        <v>ПЕДИАТРИИ</v>
      </c>
      <c r="U77" s="161" t="e">
        <f>HLOOKUP(U$1,КАФЕДРА!$CP$1:$EH$75,$B77,0)</f>
        <v>#REF!</v>
      </c>
      <c r="V77" s="161" t="e">
        <f>HLOOKUP(V$1,КАФЕДРА!$CP$1:$EH$75,$B77,0)</f>
        <v>#REF!</v>
      </c>
      <c r="W77" s="161" t="e">
        <f>HLOOKUP(W$1,КАФЕДРА!$CP$1:$EH$75,$B77,0)</f>
        <v>#REF!</v>
      </c>
    </row>
    <row r="78" spans="1:23" ht="30" x14ac:dyDescent="0.2">
      <c r="A78" s="457"/>
      <c r="B78" s="31">
        <v>40</v>
      </c>
      <c r="C78" s="230" t="str">
        <f>HLOOKUP(C$1,КАФЕДРА!$DE$1:$EH$77,$B78,0)</f>
        <v>Онкологии, лучевой терапии с курсом ДПО</v>
      </c>
      <c r="D78" s="554" t="e">
        <f>HLOOKUP(D$1,КАФЕДРА!$DE$1:$EH$75,$B78,0)</f>
        <v>#DIV/0!</v>
      </c>
      <c r="E78" s="554" t="e">
        <f>HLOOKUP(E$1,КАФЕДРА!$DE$1:$EH$75,$B78,0)</f>
        <v>#DIV/0!</v>
      </c>
      <c r="F78" s="554" t="e">
        <f>HLOOKUP(F$1,КАФЕДРА!$DE$1:$EH$75,$B78,0)</f>
        <v>#DIV/0!</v>
      </c>
      <c r="G78" s="554" t="e">
        <f>HLOOKUP(G$1,КАФЕДРА!$DE$1:$EH$75,$B78,0)</f>
        <v>#DIV/0!</v>
      </c>
      <c r="H78" s="554" t="e">
        <f>HLOOKUP(H$1,КАФЕДРА!$DE$1:$EH$75,$B78,0)</f>
        <v>#DIV/0!</v>
      </c>
      <c r="I78" s="554" t="e">
        <f>HLOOKUP(I$1,КАФЕДРА!$DE$1:$EH$75,$B78,0)</f>
        <v>#DIV/0!</v>
      </c>
      <c r="J78" s="639" t="e">
        <f>HLOOKUP(J$1,'Реестр ППС'!#REF!,$B78,0)</f>
        <v>#REF!</v>
      </c>
      <c r="K78" s="639" t="str">
        <f>HLOOKUP(K$1,' "Вуз зож"'!$S$1:$U$75,$B78,0)</f>
        <v>0,0%
=0,0/7,0</v>
      </c>
      <c r="L78" s="554" t="e">
        <f>HLOOKUP(L$1,КАФЕДРА!$DE$1:$EH$75,$B78,0)</f>
        <v>#REF!</v>
      </c>
      <c r="M78" s="554"/>
      <c r="N78" s="554"/>
      <c r="O78" s="229" t="e">
        <f>ROUND(HLOOKUP(O$1,КАФЕДРА!$CY$1:$EH$75,$B78,0)+M78+N78,1)</f>
        <v>#REF!</v>
      </c>
      <c r="P78" s="507" t="e">
        <f t="shared" si="2"/>
        <v>#REF!</v>
      </c>
      <c r="Q78" s="227"/>
      <c r="R78" s="227"/>
      <c r="S78" s="227"/>
      <c r="T78" s="230" t="str">
        <f>HLOOKUP(T$1,КАФЕДРА!$DE$1:$EH$75,$B78,0)</f>
        <v>ПЕДИАТРИИ</v>
      </c>
      <c r="U78" s="161" t="e">
        <f>HLOOKUP(U$1,КАФЕДРА!$CP$1:$EH$75,$B78,0)</f>
        <v>#REF!</v>
      </c>
      <c r="V78" s="161" t="e">
        <f>HLOOKUP(V$1,КАФЕДРА!$CP$1:$EH$75,$B78,0)</f>
        <v>#REF!</v>
      </c>
      <c r="W78" s="161" t="e">
        <f>HLOOKUP(W$1,КАФЕДРА!$CP$1:$EH$75,$B78,0)</f>
        <v>#REF!</v>
      </c>
    </row>
    <row r="79" spans="1:23" ht="30" x14ac:dyDescent="0.2">
      <c r="A79" s="457"/>
      <c r="B79" s="31">
        <v>41</v>
      </c>
      <c r="C79" s="230" t="str">
        <f>HLOOKUP(C$1,КАФЕДРА!$DE$1:$EH$77,$B79,0)</f>
        <v>Офтальмологии с курсом ДПО</v>
      </c>
      <c r="D79" s="554" t="e">
        <f>HLOOKUP(D$1,КАФЕДРА!$DE$1:$EH$75,$B79,0)</f>
        <v>#DIV/0!</v>
      </c>
      <c r="E79" s="554" t="e">
        <f>HLOOKUP(E$1,КАФЕДРА!$DE$1:$EH$75,$B79,0)</f>
        <v>#DIV/0!</v>
      </c>
      <c r="F79" s="554" t="e">
        <f>HLOOKUP(F$1,КАФЕДРА!$DE$1:$EH$75,$B79,0)</f>
        <v>#DIV/0!</v>
      </c>
      <c r="G79" s="554" t="e">
        <f>HLOOKUP(G$1,КАФЕДРА!$DE$1:$EH$75,$B79,0)</f>
        <v>#DIV/0!</v>
      </c>
      <c r="H79" s="554" t="e">
        <f>HLOOKUP(H$1,КАФЕДРА!$DE$1:$EH$75,$B79,0)</f>
        <v>#DIV/0!</v>
      </c>
      <c r="I79" s="554" t="e">
        <f>HLOOKUP(I$1,КАФЕДРА!$DE$1:$EH$75,$B79,0)</f>
        <v>#DIV/0!</v>
      </c>
      <c r="J79" s="639" t="e">
        <f>HLOOKUP(J$1,'Реестр ППС'!#REF!,$B79,0)</f>
        <v>#REF!</v>
      </c>
      <c r="K79" s="639" t="str">
        <f>HLOOKUP(K$1,' "Вуз зож"'!$S$1:$U$75,$B79,0)</f>
        <v>0,0%
=0,0/7,0</v>
      </c>
      <c r="L79" s="554" t="e">
        <f>HLOOKUP(L$1,КАФЕДРА!$DE$1:$EH$75,$B79,0)</f>
        <v>#REF!</v>
      </c>
      <c r="M79" s="554"/>
      <c r="N79" s="554"/>
      <c r="O79" s="229" t="e">
        <f>ROUND(HLOOKUP(O$1,КАФЕДРА!$CY$1:$EH$75,$B79,0)+M79+N79,1)</f>
        <v>#REF!</v>
      </c>
      <c r="P79" s="507" t="e">
        <f t="shared" si="2"/>
        <v>#REF!</v>
      </c>
      <c r="Q79" s="227"/>
      <c r="R79" s="227"/>
      <c r="S79" s="227"/>
      <c r="T79" s="230" t="str">
        <f>HLOOKUP(T$1,КАФЕДРА!$DE$1:$EH$75,$B79,0)</f>
        <v>ПЕДИАТРИИ</v>
      </c>
      <c r="U79" s="161" t="e">
        <f>HLOOKUP(U$1,КАФЕДРА!$CP$1:$EH$75,$B79,0)</f>
        <v>#REF!</v>
      </c>
      <c r="V79" s="161" t="e">
        <f>HLOOKUP(V$1,КАФЕДРА!$CP$1:$EH$75,$B79,0)</f>
        <v>#REF!</v>
      </c>
      <c r="W79" s="161" t="e">
        <f>HLOOKUP(W$1,КАФЕДРА!$CP$1:$EH$75,$B79,0)</f>
        <v>#REF!</v>
      </c>
    </row>
    <row r="80" spans="1:23" ht="30" x14ac:dyDescent="0.2">
      <c r="A80" s="457"/>
      <c r="B80" s="31">
        <v>42</v>
      </c>
      <c r="C80" s="230" t="str">
        <f>HLOOKUP(C$1,КАФЕДРА!$DE$1:$EH$77,$B80,0)</f>
        <v>Патологической физиологии</v>
      </c>
      <c r="D80" s="554" t="e">
        <f>HLOOKUP(D$1,КАФЕДРА!$DE$1:$EH$75,$B80,0)</f>
        <v>#DIV/0!</v>
      </c>
      <c r="E80" s="554" t="e">
        <f>HLOOKUP(E$1,КАФЕДРА!$DE$1:$EH$75,$B80,0)</f>
        <v>#DIV/0!</v>
      </c>
      <c r="F80" s="554" t="e">
        <f>HLOOKUP(F$1,КАФЕДРА!$DE$1:$EH$75,$B80,0)</f>
        <v>#DIV/0!</v>
      </c>
      <c r="G80" s="554" t="e">
        <f>HLOOKUP(G$1,КАФЕДРА!$DE$1:$EH$75,$B80,0)</f>
        <v>#DIV/0!</v>
      </c>
      <c r="H80" s="554" t="e">
        <f>HLOOKUP(H$1,КАФЕДРА!$DE$1:$EH$75,$B80,0)</f>
        <v>#DIV/0!</v>
      </c>
      <c r="I80" s="554" t="e">
        <f>HLOOKUP(I$1,КАФЕДРА!$DE$1:$EH$75,$B80,0)</f>
        <v>#DIV/0!</v>
      </c>
      <c r="J80" s="639" t="e">
        <f>HLOOKUP(J$1,'Реестр ППС'!#REF!,$B80,0)</f>
        <v>#REF!</v>
      </c>
      <c r="K80" s="639" t="str">
        <f>HLOOKUP(K$1,' "Вуз зож"'!$S$1:$U$75,$B80,0)</f>
        <v>0,0%
=0,0/7,0</v>
      </c>
      <c r="L80" s="554" t="e">
        <f>HLOOKUP(L$1,КАФЕДРА!$DE$1:$EH$75,$B80,0)</f>
        <v>#REF!</v>
      </c>
      <c r="M80" s="554">
        <f>3</f>
        <v>3</v>
      </c>
      <c r="N80" s="554"/>
      <c r="O80" s="229" t="e">
        <f>ROUND(HLOOKUP(O$1,КАФЕДРА!$CY$1:$EH$75,$B80,0)+M80+N80,1)</f>
        <v>#REF!</v>
      </c>
      <c r="P80" s="507" t="e">
        <f t="shared" si="2"/>
        <v>#REF!</v>
      </c>
      <c r="Q80" s="227"/>
      <c r="R80" s="227"/>
      <c r="S80" s="227"/>
      <c r="T80" s="230" t="str">
        <f>HLOOKUP(T$1,КАФЕДРА!$DE$1:$EH$75,$B80,0)</f>
        <v>ПЕДИАТРИИ</v>
      </c>
      <c r="U80" s="161" t="e">
        <f>HLOOKUP(U$1,КАФЕДРА!$CP$1:$EH$75,$B80,0)</f>
        <v>#REF!</v>
      </c>
      <c r="V80" s="161" t="e">
        <f>HLOOKUP(V$1,КАФЕДРА!$CP$1:$EH$75,$B80,0)</f>
        <v>#REF!</v>
      </c>
      <c r="W80" s="161" t="e">
        <f>HLOOKUP(W$1,КАФЕДРА!$CP$1:$EH$75,$B80,0)</f>
        <v>#REF!</v>
      </c>
    </row>
    <row r="81" spans="1:24" s="124" customFormat="1" ht="30" x14ac:dyDescent="0.2">
      <c r="A81" s="457"/>
      <c r="B81" s="31">
        <v>43</v>
      </c>
      <c r="C81" s="230" t="str">
        <f>HLOOKUP(C$1,КАФЕДРА!$DE$1:$EH$77,$B81,0)</f>
        <v>Пропедевтики детских болезней</v>
      </c>
      <c r="D81" s="554" t="e">
        <f>HLOOKUP(D$1,КАФЕДРА!$DE$1:$EH$75,$B81,0)</f>
        <v>#DIV/0!</v>
      </c>
      <c r="E81" s="554" t="e">
        <f>HLOOKUP(E$1,КАФЕДРА!$DE$1:$EH$75,$B81,0)</f>
        <v>#DIV/0!</v>
      </c>
      <c r="F81" s="554" t="e">
        <f>HLOOKUP(F$1,КАФЕДРА!$DE$1:$EH$75,$B81,0)</f>
        <v>#DIV/0!</v>
      </c>
      <c r="G81" s="554" t="e">
        <f>HLOOKUP(G$1,КАФЕДРА!$DE$1:$EH$75,$B81,0)</f>
        <v>#DIV/0!</v>
      </c>
      <c r="H81" s="554" t="e">
        <f>HLOOKUP(H$1,КАФЕДРА!$DE$1:$EH$75,$B81,0)</f>
        <v>#DIV/0!</v>
      </c>
      <c r="I81" s="554" t="e">
        <f>HLOOKUP(I$1,КАФЕДРА!$DE$1:$EH$75,$B81,0)</f>
        <v>#DIV/0!</v>
      </c>
      <c r="J81" s="639" t="e">
        <f>HLOOKUP(J$1,'Реестр ППС'!#REF!,$B81,0)</f>
        <v>#REF!</v>
      </c>
      <c r="K81" s="639" t="str">
        <f>HLOOKUP(K$1,' "Вуз зож"'!$S$1:$U$75,$B81,0)</f>
        <v>0,0%
=0,0/7,0</v>
      </c>
      <c r="L81" s="554" t="e">
        <f>HLOOKUP(L$1,КАФЕДРА!$DE$1:$EH$75,$B81,0)</f>
        <v>#REF!</v>
      </c>
      <c r="M81" s="554">
        <f>2+3</f>
        <v>5</v>
      </c>
      <c r="N81" s="554"/>
      <c r="O81" s="229" t="e">
        <f>ROUND(HLOOKUP(O$1,КАФЕДРА!$CY$1:$EH$75,$B81,0)+M81+N81,1)</f>
        <v>#REF!</v>
      </c>
      <c r="P81" s="507" t="e">
        <f t="shared" si="2"/>
        <v>#REF!</v>
      </c>
      <c r="Q81" s="227"/>
      <c r="R81" s="227"/>
      <c r="S81" s="227"/>
      <c r="T81" s="230" t="str">
        <f>HLOOKUP(T$1,КАФЕДРА!$DE$1:$EH$75,$B81,0)</f>
        <v>ПЕДИАТРИИ</v>
      </c>
      <c r="U81" s="161" t="e">
        <f>HLOOKUP(U$1,КАФЕДРА!$CP$1:$EH$75,$B81,0)</f>
        <v>#REF!</v>
      </c>
      <c r="V81" s="161" t="e">
        <f>HLOOKUP(V$1,КАФЕДРА!$CP$1:$EH$75,$B81,0)</f>
        <v>#REF!</v>
      </c>
      <c r="W81" s="161" t="e">
        <f>HLOOKUP(W$1,КАФЕДРА!$CP$1:$EH$75,$B81,0)</f>
        <v>#REF!</v>
      </c>
      <c r="X81" s="31"/>
    </row>
    <row r="82" spans="1:24" ht="60" x14ac:dyDescent="0.2">
      <c r="A82" s="457"/>
      <c r="B82" s="31">
        <v>44</v>
      </c>
      <c r="C82" s="230" t="str">
        <f>HLOOKUP(C$1,КАФЕДРА!$DE$1:$EH$77,$B82,0)</f>
        <v>Судебной медицины имени профессора В.Н. Крюкова и патологической анатомии с курсом ДПО</v>
      </c>
      <c r="D82" s="554" t="e">
        <f>HLOOKUP(D$1,КАФЕДРА!$DE$1:$EH$75,$B82,0)</f>
        <v>#DIV/0!</v>
      </c>
      <c r="E82" s="554" t="e">
        <f>HLOOKUP(E$1,КАФЕДРА!$DE$1:$EH$75,$B82,0)</f>
        <v>#DIV/0!</v>
      </c>
      <c r="F82" s="554" t="e">
        <f>HLOOKUP(F$1,КАФЕДРА!$DE$1:$EH$75,$B82,0)</f>
        <v>#DIV/0!</v>
      </c>
      <c r="G82" s="554" t="e">
        <f>HLOOKUP(G$1,КАФЕДРА!$DE$1:$EH$75,$B82,0)</f>
        <v>#DIV/0!</v>
      </c>
      <c r="H82" s="554" t="e">
        <f>HLOOKUP(H$1,КАФЕДРА!$DE$1:$EH$75,$B82,0)</f>
        <v>#DIV/0!</v>
      </c>
      <c r="I82" s="554" t="e">
        <f>HLOOKUP(I$1,КАФЕДРА!$DE$1:$EH$75,$B82,0)</f>
        <v>#DIV/0!</v>
      </c>
      <c r="J82" s="639" t="e">
        <f>HLOOKUP(J$1,'Реестр ППС'!#REF!,$B82,0)</f>
        <v>#REF!</v>
      </c>
      <c r="K82" s="639" t="str">
        <f>HLOOKUP(K$1,' "Вуз зож"'!$S$1:$U$75,$B82,0)</f>
        <v>0,0%
=0,0/7,0</v>
      </c>
      <c r="L82" s="554" t="e">
        <f>HLOOKUP(L$1,КАФЕДРА!$DE$1:$EH$75,$B82,0)</f>
        <v>#REF!</v>
      </c>
      <c r="M82" s="866"/>
      <c r="N82" s="554"/>
      <c r="O82" s="229" t="e">
        <f>ROUND(HLOOKUP(O$1,КАФЕДРА!$CY$1:$EH$75,$B82,0)+M82+N82,1)</f>
        <v>#REF!</v>
      </c>
      <c r="P82" s="507" t="e">
        <f t="shared" si="2"/>
        <v>#REF!</v>
      </c>
      <c r="Q82" s="227"/>
      <c r="R82" s="227"/>
      <c r="S82" s="227"/>
      <c r="T82" s="230" t="str">
        <f>HLOOKUP(T$1,КАФЕДРА!$DE$1:$EH$75,$B82,0)</f>
        <v>ПЕДИАТРИИ</v>
      </c>
      <c r="U82" s="161" t="e">
        <f>HLOOKUP(U$1,КАФЕДРА!$CP$1:$EH$75,$B82,0)</f>
        <v>#REF!</v>
      </c>
      <c r="V82" s="161" t="e">
        <f>HLOOKUP(V$1,КАФЕДРА!$CP$1:$EH$75,$B82,0)</f>
        <v>#REF!</v>
      </c>
      <c r="W82" s="161" t="e">
        <f>HLOOKUP(W$1,КАФЕДРА!$CP$1:$EH$75,$B82,0)</f>
        <v>#REF!</v>
      </c>
    </row>
    <row r="83" spans="1:24" ht="30" x14ac:dyDescent="0.2">
      <c r="A83" s="457"/>
      <c r="B83" s="31">
        <v>45</v>
      </c>
      <c r="C83" s="230" t="str">
        <f>HLOOKUP(C$1,КАФЕДРА!$DE$1:$EH$77,$B83,0)</f>
        <v>Факультетской педиатрии</v>
      </c>
      <c r="D83" s="554" t="e">
        <f>HLOOKUP(D$1,КАФЕДРА!$DE$1:$EH$75,$B83,0)</f>
        <v>#DIV/0!</v>
      </c>
      <c r="E83" s="554" t="e">
        <f>HLOOKUP(E$1,КАФЕДРА!$DE$1:$EH$75,$B83,0)</f>
        <v>#DIV/0!</v>
      </c>
      <c r="F83" s="554" t="e">
        <f>HLOOKUP(F$1,КАФЕДРА!$DE$1:$EH$75,$B83,0)</f>
        <v>#DIV/0!</v>
      </c>
      <c r="G83" s="554" t="e">
        <f>HLOOKUP(G$1,КАФЕДРА!$DE$1:$EH$75,$B83,0)</f>
        <v>#DIV/0!</v>
      </c>
      <c r="H83" s="554" t="e">
        <f>HLOOKUP(H$1,КАФЕДРА!$DE$1:$EH$75,$B83,0)</f>
        <v>#DIV/0!</v>
      </c>
      <c r="I83" s="554" t="e">
        <f>HLOOKUP(I$1,КАФЕДРА!$DE$1:$EH$75,$B83,0)</f>
        <v>#DIV/0!</v>
      </c>
      <c r="J83" s="639" t="e">
        <f>HLOOKUP(J$1,'Реестр ППС'!#REF!,$B83,0)</f>
        <v>#REF!</v>
      </c>
      <c r="K83" s="639" t="str">
        <f>HLOOKUP(K$1,' "Вуз зож"'!$S$1:$U$75,$B83,0)</f>
        <v>0,0%
=0,0/7,0</v>
      </c>
      <c r="L83" s="554" t="e">
        <f>HLOOKUP(L$1,КАФЕДРА!$DE$1:$EH$75,$B83,0)</f>
        <v>#REF!</v>
      </c>
      <c r="M83" s="554">
        <f>2+3</f>
        <v>5</v>
      </c>
      <c r="N83" s="554"/>
      <c r="O83" s="229" t="e">
        <f>ROUND(HLOOKUP(O$1,КАФЕДРА!$CY$1:$EH$75,$B83,0)+M83+N83,1)</f>
        <v>#REF!</v>
      </c>
      <c r="P83" s="507" t="e">
        <f t="shared" si="2"/>
        <v>#REF!</v>
      </c>
      <c r="Q83" s="227"/>
      <c r="R83" s="227"/>
      <c r="S83" s="227"/>
      <c r="T83" s="230" t="str">
        <f>HLOOKUP(T$1,КАФЕДРА!$DE$1:$EH$75,$B83,0)</f>
        <v>ПЕДИАТРИИ</v>
      </c>
      <c r="U83" s="161" t="e">
        <f>HLOOKUP(U$1,КАФЕДРА!$CP$1:$EH$75,$B83,0)</f>
        <v>#REF!</v>
      </c>
      <c r="V83" s="161" t="e">
        <f>HLOOKUP(V$1,КАФЕДРА!$CP$1:$EH$75,$B83,0)</f>
        <v>#REF!</v>
      </c>
      <c r="W83" s="161" t="e">
        <f>HLOOKUP(W$1,КАФЕДРА!$CP$1:$EH$75,$B83,0)</f>
        <v>#REF!</v>
      </c>
    </row>
    <row r="84" spans="1:24" ht="30" x14ac:dyDescent="0.2">
      <c r="A84" s="457" t="s">
        <v>509</v>
      </c>
      <c r="B84" s="31">
        <v>46</v>
      </c>
      <c r="C84" s="230" t="str">
        <f>HLOOKUP(C$1,КАФЕДРА!$DE$1:$EH$77,$B84,0)</f>
        <v>Хирургических болезней детского возраста</v>
      </c>
      <c r="D84" s="866" t="e">
        <f>HLOOKUP(D$1,КАФЕДРА!$DE$1:$EH$75,$B84,0)</f>
        <v>#DIV/0!</v>
      </c>
      <c r="E84" s="866" t="e">
        <f>HLOOKUP(E$1,КАФЕДРА!$DE$1:$EH$75,$B84,0)</f>
        <v>#DIV/0!</v>
      </c>
      <c r="F84" s="866" t="e">
        <f>HLOOKUP(F$1,КАФЕДРА!$DE$1:$EH$75,$B84,0)</f>
        <v>#DIV/0!</v>
      </c>
      <c r="G84" s="866" t="e">
        <f>HLOOKUP(G$1,КАФЕДРА!$DE$1:$EH$75,$B84,0)</f>
        <v>#DIV/0!</v>
      </c>
      <c r="H84" s="866" t="e">
        <f>HLOOKUP(H$1,КАФЕДРА!$DE$1:$EH$75,$B84,0)</f>
        <v>#DIV/0!</v>
      </c>
      <c r="I84" s="866" t="e">
        <f>HLOOKUP(I$1,КАФЕДРА!$DE$1:$EH$75,$B84,0)</f>
        <v>#DIV/0!</v>
      </c>
      <c r="J84" s="866" t="e">
        <f>HLOOKUP(J$1,'Реестр ППС'!#REF!,$B84,0)</f>
        <v>#REF!</v>
      </c>
      <c r="K84" s="866" t="str">
        <f>HLOOKUP(K$1,' "Вуз зож"'!$S$1:$U$75,$B84,0)</f>
        <v>0,0%
=0,0/7,0</v>
      </c>
      <c r="L84" s="866" t="e">
        <f>HLOOKUP(L$1,КАФЕДРА!$DE$1:$EH$75,$B84,0)</f>
        <v>#REF!</v>
      </c>
      <c r="M84" s="866"/>
      <c r="N84" s="866"/>
      <c r="O84" s="229" t="e">
        <f>ROUND(HLOOKUP(O$1,КАФЕДРА!$CY$1:$EH$75,$B84,0)+M84+N84,1)</f>
        <v>#REF!</v>
      </c>
      <c r="P84" s="507" t="e">
        <f t="shared" si="2"/>
        <v>#REF!</v>
      </c>
      <c r="Q84" s="227"/>
      <c r="R84" s="227"/>
      <c r="S84" s="227"/>
      <c r="T84" s="230" t="str">
        <f>HLOOKUP(T$1,КАФЕДРА!$DE$1:$EH$75,$B84,0)</f>
        <v>ПЕДИАТРИИ</v>
      </c>
      <c r="U84" s="161" t="e">
        <f>HLOOKUP(U$1,КАФЕДРА!$CP$1:$EH$75,$B84,0)</f>
        <v>#REF!</v>
      </c>
      <c r="V84" s="161" t="e">
        <f>HLOOKUP(V$1,КАФЕДРА!$CP$1:$EH$75,$B84,0)</f>
        <v>#REF!</v>
      </c>
      <c r="W84" s="161" t="e">
        <f>HLOOKUP(W$1,КАФЕДРА!$CP$1:$EH$75,$B84,0)</f>
        <v>#REF!</v>
      </c>
    </row>
    <row r="85" spans="1:24" ht="30.75" thickBot="1" x14ac:dyDescent="0.25">
      <c r="A85" s="457"/>
      <c r="B85" s="31">
        <v>47</v>
      </c>
      <c r="C85" s="1499" t="str">
        <f>HLOOKUP(C$1,КАФЕДРА!$DE$1:$EH$77,$B85,0)</f>
        <v>Клинической фармакологии</v>
      </c>
      <c r="D85" s="888" t="e">
        <f>HLOOKUP(D$1,КАФЕДРА!$DE$1:$EH$75,$B85,0)</f>
        <v>#DIV/0!</v>
      </c>
      <c r="E85" s="888" t="e">
        <f>HLOOKUP(E$1,КАФЕДРА!$DE$1:$EH$75,$B85,0)</f>
        <v>#DIV/0!</v>
      </c>
      <c r="F85" s="888" t="e">
        <f>HLOOKUP(F$1,КАФЕДРА!$DE$1:$EH$75,$B85,0)</f>
        <v>#DIV/0!</v>
      </c>
      <c r="G85" s="888" t="e">
        <f>HLOOKUP(G$1,КАФЕДРА!$DE$1:$EH$75,$B85,0)</f>
        <v>#DIV/0!</v>
      </c>
      <c r="H85" s="888" t="e">
        <f>HLOOKUP(H$1,КАФЕДРА!$DE$1:$EH$75,$B85,0)</f>
        <v>#DIV/0!</v>
      </c>
      <c r="I85" s="888" t="e">
        <f>HLOOKUP(I$1,КАФЕДРА!$DE$1:$EH$75,$B85,0)</f>
        <v>#DIV/0!</v>
      </c>
      <c r="J85" s="888" t="e">
        <f>HLOOKUP(J$1,'Реестр ППС'!#REF!,$B85,0)</f>
        <v>#REF!</v>
      </c>
      <c r="K85" s="888" t="str">
        <f>HLOOKUP(K$1,' "Вуз зож"'!$S$1:$U$75,$B85,0)</f>
        <v>0,0%
=0,0/7,0</v>
      </c>
      <c r="L85" s="888" t="e">
        <f>HLOOKUP(L$1,КАФЕДРА!$DE$1:$EH$75,$B85,0)</f>
        <v>#REF!</v>
      </c>
      <c r="M85" s="888">
        <f>2</f>
        <v>2</v>
      </c>
      <c r="N85" s="888"/>
      <c r="O85" s="889" t="e">
        <f>ROUND(HLOOKUP(O$1,КАФЕДРА!$CY$1:$EH$75,$B85,0)+M85+N85,1)</f>
        <v>#REF!</v>
      </c>
      <c r="P85" s="890" t="e">
        <f t="shared" si="2"/>
        <v>#REF!</v>
      </c>
      <c r="Q85" s="891"/>
      <c r="R85" s="891"/>
      <c r="S85" s="891"/>
      <c r="T85" s="747" t="str">
        <f>HLOOKUP(T$1,КАФЕДРА!$DE$1:$EH$75,$B85,0)</f>
        <v>ПЕДИАТРИИ</v>
      </c>
      <c r="U85" s="892" t="e">
        <f>HLOOKUP(U$1,КАФЕДРА!$CP$1:$EH$75,$B85,0)</f>
        <v>#REF!</v>
      </c>
      <c r="V85" s="892" t="e">
        <f>HLOOKUP(V$1,КАФЕДРА!$CP$1:$EH$75,$B85,0)</f>
        <v>#REF!</v>
      </c>
      <c r="W85" s="892" t="e">
        <f>HLOOKUP(W$1,КАФЕДРА!$CP$1:$EH$75,$B85,0)</f>
        <v>#REF!</v>
      </c>
    </row>
    <row r="86" spans="1:24" ht="30" x14ac:dyDescent="0.2">
      <c r="A86" s="457"/>
      <c r="B86" s="31">
        <v>48</v>
      </c>
      <c r="C86" s="1498" t="str">
        <f>HLOOKUP(C$1,КАФЕДРА!$DE$1:$EH$77,$B86,0)</f>
        <v>Ортопедической стоматологии</v>
      </c>
      <c r="D86" s="748" t="e">
        <f>HLOOKUP(D$1,КАФЕДРА!$DE$1:$EH$75,$B86,0)</f>
        <v>#DIV/0!</v>
      </c>
      <c r="E86" s="748" t="e">
        <f>HLOOKUP(E$1,КАФЕДРА!$DE$1:$EH$75,$B86,0)</f>
        <v>#DIV/0!</v>
      </c>
      <c r="F86" s="748" t="e">
        <f>HLOOKUP(F$1,КАФЕДРА!$DE$1:$EH$75,$B86,0)</f>
        <v>#DIV/0!</v>
      </c>
      <c r="G86" s="748" t="e">
        <f>HLOOKUP(G$1,КАФЕДРА!$DE$1:$EH$75,$B86,0)</f>
        <v>#DIV/0!</v>
      </c>
      <c r="H86" s="748" t="e">
        <f>HLOOKUP(H$1,КАФЕДРА!$DE$1:$EH$75,$B86,0)</f>
        <v>#DIV/0!</v>
      </c>
      <c r="I86" s="748" t="e">
        <f>HLOOKUP(I$1,КАФЕДРА!$DE$1:$EH$75,$B86,0)</f>
        <v>#DIV/0!</v>
      </c>
      <c r="J86" s="748" t="e">
        <f>HLOOKUP(J$1,'Реестр ППС'!#REF!,$B86,0)</f>
        <v>#REF!</v>
      </c>
      <c r="K86" s="748" t="str">
        <f>HLOOKUP(K$1,' "Вуз зож"'!$S$1:$U$75,$B86,0)</f>
        <v>0,0%
=0,0/7,0</v>
      </c>
      <c r="L86" s="748" t="e">
        <f>HLOOKUP(L$1,КАФЕДРА!$DE$1:$EH$75,$B86,0)</f>
        <v>#REF!</v>
      </c>
      <c r="M86" s="748"/>
      <c r="N86" s="748"/>
      <c r="O86" s="749" t="e">
        <f>ROUND(HLOOKUP(O$1,КАФЕДРА!$CY$1:$EH$75,$B86,0)+M86+N86,1)</f>
        <v>#REF!</v>
      </c>
      <c r="P86" s="886" t="e">
        <f t="shared" si="2"/>
        <v>#REF!</v>
      </c>
      <c r="Q86" s="227"/>
      <c r="R86" s="227"/>
      <c r="S86" s="227"/>
      <c r="T86" s="746" t="str">
        <f>HLOOKUP(T$1,КАФЕДРА!$DE$1:$EH$75,$B86,0)</f>
        <v>СТОМ</v>
      </c>
      <c r="U86" s="887" t="e">
        <f>HLOOKUP(U$1,КАФЕДРА!$CP$1:$EH$75,$B86,0)</f>
        <v>#REF!</v>
      </c>
      <c r="V86" s="887" t="e">
        <f>HLOOKUP(V$1,КАФЕДРА!$CP$1:$EH$75,$B86,0)</f>
        <v>#REF!</v>
      </c>
      <c r="W86" s="887" t="e">
        <f>HLOOKUP(W$1,КАФЕДРА!$CP$1:$EH$75,$B86,0)</f>
        <v>#REF!</v>
      </c>
    </row>
    <row r="87" spans="1:24" ht="30" x14ac:dyDescent="0.2">
      <c r="A87" s="457"/>
      <c r="B87" s="31">
        <v>49</v>
      </c>
      <c r="C87" s="230" t="str">
        <f>HLOOKUP(C$1,КАФЕДРА!$DE$1:$EH$77,$B87,0)</f>
        <v>Стоматологии детского возраста</v>
      </c>
      <c r="D87" s="554" t="e">
        <f>HLOOKUP(D$1,КАФЕДРА!$DE$1:$EH$75,$B87,0)</f>
        <v>#DIV/0!</v>
      </c>
      <c r="E87" s="554" t="e">
        <f>HLOOKUP(E$1,КАФЕДРА!$DE$1:$EH$75,$B87,0)</f>
        <v>#DIV/0!</v>
      </c>
      <c r="F87" s="554" t="e">
        <f>HLOOKUP(F$1,КАФЕДРА!$DE$1:$EH$75,$B87,0)</f>
        <v>#DIV/0!</v>
      </c>
      <c r="G87" s="554" t="e">
        <f>HLOOKUP(G$1,КАФЕДРА!$DE$1:$EH$75,$B87,0)</f>
        <v>#DIV/0!</v>
      </c>
      <c r="H87" s="554" t="e">
        <f>HLOOKUP(H$1,КАФЕДРА!$DE$1:$EH$75,$B87,0)</f>
        <v>#DIV/0!</v>
      </c>
      <c r="I87" s="554" t="e">
        <f>HLOOKUP(I$1,КАФЕДРА!$DE$1:$EH$75,$B87,0)</f>
        <v>#DIV/0!</v>
      </c>
      <c r="J87" s="639" t="e">
        <f>HLOOKUP(J$1,'Реестр ППС'!#REF!,$B87,0)</f>
        <v>#REF!</v>
      </c>
      <c r="K87" s="639" t="str">
        <f>HLOOKUP(K$1,' "Вуз зож"'!$S$1:$U$75,$B87,0)</f>
        <v>0,0%
=0,0/7,0</v>
      </c>
      <c r="L87" s="554" t="e">
        <f>HLOOKUP(L$1,КАФЕДРА!$DE$1:$EH$75,$B87,0)</f>
        <v>#REF!</v>
      </c>
      <c r="M87" s="554">
        <f>2</f>
        <v>2</v>
      </c>
      <c r="N87" s="554"/>
      <c r="O87" s="229" t="e">
        <f>ROUND(HLOOKUP(O$1,КАФЕДРА!$CY$1:$EH$75,$B87,0)+M87+N87,1)</f>
        <v>#REF!</v>
      </c>
      <c r="P87" s="507" t="e">
        <f t="shared" si="2"/>
        <v>#REF!</v>
      </c>
      <c r="Q87" s="227"/>
      <c r="R87" s="227"/>
      <c r="S87" s="227"/>
      <c r="T87" s="230" t="str">
        <f>HLOOKUP(T$1,КАФЕДРА!$DE$1:$EH$75,$B87,0)</f>
        <v>СТОМ</v>
      </c>
      <c r="U87" s="161" t="e">
        <f>HLOOKUP(U$1,КАФЕДРА!$CP$1:$EH$75,$B87,0)</f>
        <v>#REF!</v>
      </c>
      <c r="V87" s="161" t="e">
        <f>HLOOKUP(V$1,КАФЕДРА!$CP$1:$EH$75,$B87,0)</f>
        <v>#REF!</v>
      </c>
      <c r="W87" s="161" t="e">
        <f>HLOOKUP(W$1,КАФЕДРА!$CP$1:$EH$75,$B87,0)</f>
        <v>#REF!</v>
      </c>
    </row>
    <row r="88" spans="1:24" ht="30" x14ac:dyDescent="0.2">
      <c r="A88" s="457"/>
      <c r="B88" s="31">
        <v>50</v>
      </c>
      <c r="C88" s="230" t="str">
        <f>HLOOKUP(C$1,КАФЕДРА!$DE$1:$EH$77,$B88,0)</f>
        <v>Терапевтической стоматологии</v>
      </c>
      <c r="D88" s="554" t="e">
        <f>HLOOKUP(D$1,КАФЕДРА!$DE$1:$EH$75,$B88,0)</f>
        <v>#DIV/0!</v>
      </c>
      <c r="E88" s="554" t="e">
        <f>HLOOKUP(E$1,КАФЕДРА!$DE$1:$EH$75,$B88,0)</f>
        <v>#DIV/0!</v>
      </c>
      <c r="F88" s="554" t="e">
        <f>HLOOKUP(F$1,КАФЕДРА!$DE$1:$EH$75,$B88,0)</f>
        <v>#DIV/0!</v>
      </c>
      <c r="G88" s="554" t="e">
        <f>HLOOKUP(G$1,КАФЕДРА!$DE$1:$EH$75,$B88,0)</f>
        <v>#DIV/0!</v>
      </c>
      <c r="H88" s="554" t="e">
        <f>HLOOKUP(H$1,КАФЕДРА!$DE$1:$EH$75,$B88,0)</f>
        <v>#DIV/0!</v>
      </c>
      <c r="I88" s="554" t="e">
        <f>HLOOKUP(I$1,КАФЕДРА!$DE$1:$EH$75,$B88,0)</f>
        <v>#DIV/0!</v>
      </c>
      <c r="J88" s="639" t="e">
        <f>HLOOKUP(J$1,'Реестр ППС'!#REF!,$B88,0)</f>
        <v>#REF!</v>
      </c>
      <c r="K88" s="639" t="str">
        <f>HLOOKUP(K$1,' "Вуз зож"'!$S$1:$U$75,$B88,0)</f>
        <v>0,0%
=0,0/7,0</v>
      </c>
      <c r="L88" s="554" t="e">
        <f>HLOOKUP(L$1,КАФЕДРА!$DE$1:$EH$75,$B88,0)</f>
        <v>#REF!</v>
      </c>
      <c r="M88" s="554"/>
      <c r="N88" s="554"/>
      <c r="O88" s="229" t="e">
        <f>ROUND(HLOOKUP(O$1,КАФЕДРА!$CY$1:$EH$75,$B88,0)+M88+N88,1)</f>
        <v>#REF!</v>
      </c>
      <c r="P88" s="507" t="e">
        <f t="shared" si="2"/>
        <v>#REF!</v>
      </c>
      <c r="Q88" s="227"/>
      <c r="R88" s="227"/>
      <c r="S88" s="227"/>
      <c r="T88" s="230" t="str">
        <f>HLOOKUP(T$1,КАФЕДРА!$DE$1:$EH$75,$B88,0)</f>
        <v>СТОМ</v>
      </c>
      <c r="U88" s="161" t="e">
        <f>HLOOKUP(U$1,КАФЕДРА!$CP$1:$EH$75,$B88,0)</f>
        <v>#REF!</v>
      </c>
      <c r="V88" s="161" t="e">
        <f>HLOOKUP(V$1,КАФЕДРА!$CP$1:$EH$75,$B88,0)</f>
        <v>#REF!</v>
      </c>
      <c r="W88" s="161" t="e">
        <f>HLOOKUP(W$1,КАФЕДРА!$CP$1:$EH$75,$B88,0)</f>
        <v>#REF!</v>
      </c>
    </row>
    <row r="89" spans="1:24" ht="30" x14ac:dyDescent="0.2">
      <c r="A89" s="457"/>
      <c r="B89" s="31">
        <v>51</v>
      </c>
      <c r="C89" s="230" t="str">
        <f>HLOOKUP(C$1,КАФЕДРА!$DE$1:$EH$77,$B89,0)</f>
        <v>Физической культуры и здорового образа жизни</v>
      </c>
      <c r="D89" s="866" t="e">
        <f>HLOOKUP(D$1,КАФЕДРА!$DE$1:$EH$75,$B89,0)</f>
        <v>#DIV/0!</v>
      </c>
      <c r="E89" s="866" t="e">
        <f>HLOOKUP(E$1,КАФЕДРА!$DE$1:$EH$75,$B89,0)</f>
        <v>#DIV/0!</v>
      </c>
      <c r="F89" s="866" t="e">
        <f>HLOOKUP(F$1,КАФЕДРА!$DE$1:$EH$75,$B89,0)</f>
        <v>#DIV/0!</v>
      </c>
      <c r="G89" s="866" t="e">
        <f>HLOOKUP(G$1,КАФЕДРА!$DE$1:$EH$75,$B89,0)</f>
        <v>#DIV/0!</v>
      </c>
      <c r="H89" s="866" t="e">
        <f>HLOOKUP(H$1,КАФЕДРА!$DE$1:$EH$75,$B89,0)</f>
        <v>#DIV/0!</v>
      </c>
      <c r="I89" s="866" t="e">
        <f>HLOOKUP(I$1,КАФЕДРА!$DE$1:$EH$75,$B89,0)</f>
        <v>#DIV/0!</v>
      </c>
      <c r="J89" s="866" t="e">
        <f>HLOOKUP(J$1,'Реестр ППС'!#REF!,$B89,0)</f>
        <v>#REF!</v>
      </c>
      <c r="K89" s="866" t="str">
        <f>HLOOKUP(K$1,' "Вуз зож"'!$S$1:$U$75,$B89,0)</f>
        <v>0,0%
=0,0/7,0</v>
      </c>
      <c r="L89" s="866" t="e">
        <f>HLOOKUP(L$1,КАФЕДРА!$DE$1:$EH$75,$B89,0)</f>
        <v>#REF!</v>
      </c>
      <c r="M89" s="866"/>
      <c r="N89" s="866"/>
      <c r="O89" s="229" t="e">
        <f>ROUND(HLOOKUP(O$1,КАФЕДРА!$CY$1:$EH$75,$B89,0)+M89+N89,1)</f>
        <v>#REF!</v>
      </c>
      <c r="P89" s="507" t="e">
        <f t="shared" si="2"/>
        <v>#REF!</v>
      </c>
      <c r="Q89" s="227"/>
      <c r="R89" s="227"/>
      <c r="S89" s="227"/>
      <c r="T89" s="230" t="str">
        <f>HLOOKUP(T$1,КАФЕДРА!$DE$1:$EH$75,$B89,0)</f>
        <v>СТОМ</v>
      </c>
      <c r="U89" s="161" t="e">
        <f>HLOOKUP(U$1,КАФЕДРА!$CP$1:$EH$75,$B89,0)</f>
        <v>#REF!</v>
      </c>
      <c r="V89" s="161" t="e">
        <f>HLOOKUP(V$1,КАФЕДРА!$CP$1:$EH$75,$B89,0)</f>
        <v>#REF!</v>
      </c>
      <c r="W89" s="161" t="e">
        <f>HLOOKUP(W$1,КАФЕДРА!$CP$1:$EH$75,$B89,0)</f>
        <v>#REF!</v>
      </c>
    </row>
    <row r="90" spans="1:24" ht="30.75" thickBot="1" x14ac:dyDescent="0.25">
      <c r="A90" s="457"/>
      <c r="B90" s="31">
        <v>52</v>
      </c>
      <c r="C90" s="1499" t="str">
        <f>HLOOKUP(C$1,КАФЕДРА!$DE$1:$EH$77,$B90,0)</f>
        <v>Хирургической стоматологии, челюстно-лицевой хирургии</v>
      </c>
      <c r="D90" s="888" t="e">
        <f>HLOOKUP(D$1,КАФЕДРА!$DE$1:$EH$75,$B90,0)</f>
        <v>#DIV/0!</v>
      </c>
      <c r="E90" s="888" t="e">
        <f>HLOOKUP(E$1,КАФЕДРА!$DE$1:$EH$75,$B90,0)</f>
        <v>#DIV/0!</v>
      </c>
      <c r="F90" s="888" t="e">
        <f>HLOOKUP(F$1,КАФЕДРА!$DE$1:$EH$75,$B90,0)</f>
        <v>#DIV/0!</v>
      </c>
      <c r="G90" s="888" t="e">
        <f>HLOOKUP(G$1,КАФЕДРА!$DE$1:$EH$75,$B90,0)</f>
        <v>#DIV/0!</v>
      </c>
      <c r="H90" s="888" t="e">
        <f>HLOOKUP(H$1,КАФЕДРА!$DE$1:$EH$75,$B90,0)</f>
        <v>#DIV/0!</v>
      </c>
      <c r="I90" s="888" t="e">
        <f>HLOOKUP(I$1,КАФЕДРА!$DE$1:$EH$75,$B90,0)</f>
        <v>#DIV/0!</v>
      </c>
      <c r="J90" s="888" t="e">
        <f>HLOOKUP(J$1,'Реестр ППС'!#REF!,$B90,0)</f>
        <v>#REF!</v>
      </c>
      <c r="K90" s="888" t="str">
        <f>HLOOKUP(K$1,' "Вуз зож"'!$S$1:$U$75,$B90,0)</f>
        <v>0,0%
=0,0/7,0</v>
      </c>
      <c r="L90" s="888" t="e">
        <f>HLOOKUP(L$1,КАФЕДРА!$DE$1:$EH$75,$B90,0)</f>
        <v>#REF!</v>
      </c>
      <c r="M90" s="888"/>
      <c r="N90" s="888"/>
      <c r="O90" s="889" t="e">
        <f>ROUND(HLOOKUP(O$1,КАФЕДРА!$CY$1:$EH$75,$B90,0)+M90+N90,1)</f>
        <v>#REF!</v>
      </c>
      <c r="P90" s="890" t="e">
        <f t="shared" si="2"/>
        <v>#REF!</v>
      </c>
      <c r="Q90" s="891"/>
      <c r="R90" s="891"/>
      <c r="S90" s="891"/>
      <c r="T90" s="747" t="str">
        <f>HLOOKUP(T$1,КАФЕДРА!$DE$1:$EH$75,$B90,0)</f>
        <v>СТОМ</v>
      </c>
      <c r="U90" s="892" t="e">
        <f>HLOOKUP(U$1,КАФЕДРА!$CP$1:$EH$75,$B90,0)</f>
        <v>#REF!</v>
      </c>
      <c r="V90" s="892" t="e">
        <f>HLOOKUP(V$1,КАФЕДРА!$CP$1:$EH$75,$B90,0)</f>
        <v>#REF!</v>
      </c>
      <c r="W90" s="892" t="e">
        <f>HLOOKUP(W$1,КАФЕДРА!$CP$1:$EH$75,$B90,0)</f>
        <v>#REF!</v>
      </c>
    </row>
    <row r="91" spans="1:24" ht="30" x14ac:dyDescent="0.2">
      <c r="A91" s="457"/>
      <c r="B91" s="31">
        <v>53</v>
      </c>
      <c r="C91" s="1498" t="str">
        <f>HLOOKUP(C$1,КАФЕДРА!$DE$1:$EH$77,$B91,0)</f>
        <v>Биологии, гистологии, эмбриологии и цитологии</v>
      </c>
      <c r="D91" s="748" t="e">
        <f>HLOOKUP(D$1,КАФЕДРА!$DE$1:$EH$75,$B91,0)</f>
        <v>#DIV/0!</v>
      </c>
      <c r="E91" s="748" t="e">
        <f>HLOOKUP(E$1,КАФЕДРА!$DE$1:$EH$75,$B91,0)</f>
        <v>#DIV/0!</v>
      </c>
      <c r="F91" s="748" t="e">
        <f>HLOOKUP(F$1,КАФЕДРА!$DE$1:$EH$75,$B91,0)</f>
        <v>#DIV/0!</v>
      </c>
      <c r="G91" s="748" t="e">
        <f>HLOOKUP(G$1,КАФЕДРА!$DE$1:$EH$75,$B91,0)</f>
        <v>#DIV/0!</v>
      </c>
      <c r="H91" s="748" t="e">
        <f>HLOOKUP(H$1,КАФЕДРА!$DE$1:$EH$75,$B91,0)</f>
        <v>#DIV/0!</v>
      </c>
      <c r="I91" s="748" t="e">
        <f>HLOOKUP(I$1,КАФЕДРА!$DE$1:$EH$75,$B91,0)</f>
        <v>#DIV/0!</v>
      </c>
      <c r="J91" s="748" t="e">
        <f>HLOOKUP(J$1,'Реестр ППС'!#REF!,$B91,0)</f>
        <v>#REF!</v>
      </c>
      <c r="K91" s="748" t="str">
        <f>HLOOKUP(K$1,' "Вуз зож"'!$S$1:$U$75,$B91,0)</f>
        <v>0,0%
=0,0/7,0</v>
      </c>
      <c r="L91" s="748" t="e">
        <f>HLOOKUP(L$1,КАФЕДРА!$DE$1:$EH$75,$B91,0)</f>
        <v>#REF!</v>
      </c>
      <c r="M91" s="748"/>
      <c r="N91" s="748"/>
      <c r="O91" s="749" t="e">
        <f>ROUND(HLOOKUP(O$1,КАФЕДРА!$CY$1:$EH$75,$B91,0)+M91+N91,1)</f>
        <v>#REF!</v>
      </c>
      <c r="P91" s="886" t="e">
        <f t="shared" si="2"/>
        <v>#REF!</v>
      </c>
      <c r="Q91" s="227"/>
      <c r="R91" s="227"/>
      <c r="S91" s="227"/>
      <c r="T91" s="746" t="str">
        <f>HLOOKUP(T$1,КАФЕДРА!$DE$1:$EH$75,$B91,0)</f>
        <v>ОЗДОРОВЬЯ</v>
      </c>
      <c r="U91" s="887" t="e">
        <f>HLOOKUP(U$1,КАФЕДРА!$CP$1:$EH$75,$B91,0)</f>
        <v>#REF!</v>
      </c>
      <c r="V91" s="887" t="e">
        <f>HLOOKUP(V$1,КАФЕДРА!$CP$1:$EH$75,$B91,0)</f>
        <v>#REF!</v>
      </c>
      <c r="W91" s="887" t="e">
        <f>HLOOKUP(W$1,КАФЕДРА!$CP$1:$EH$75,$B91,0)</f>
        <v>#REF!</v>
      </c>
    </row>
    <row r="92" spans="1:24" ht="30" x14ac:dyDescent="0.2">
      <c r="A92" s="457"/>
      <c r="B92" s="31">
        <v>54</v>
      </c>
      <c r="C92" s="230" t="str">
        <f>HLOOKUP(C$1,КАФЕДРА!$DE$1:$EH$77,$B92,0)</f>
        <v>Гигиены и основ экологии</v>
      </c>
      <c r="D92" s="554" t="e">
        <f>HLOOKUP(D$1,КАФЕДРА!$DE$1:$EH$75,$B92,0)</f>
        <v>#DIV/0!</v>
      </c>
      <c r="E92" s="554" t="e">
        <f>HLOOKUP(E$1,КАФЕДРА!$DE$1:$EH$75,$B92,0)</f>
        <v>#DIV/0!</v>
      </c>
      <c r="F92" s="554" t="e">
        <f>HLOOKUP(F$1,КАФЕДРА!$DE$1:$EH$75,$B92,0)</f>
        <v>#DIV/0!</v>
      </c>
      <c r="G92" s="554" t="e">
        <f>HLOOKUP(G$1,КАФЕДРА!$DE$1:$EH$75,$B92,0)</f>
        <v>#DIV/0!</v>
      </c>
      <c r="H92" s="554" t="e">
        <f>HLOOKUP(H$1,КАФЕДРА!$DE$1:$EH$75,$B92,0)</f>
        <v>#DIV/0!</v>
      </c>
      <c r="I92" s="554" t="e">
        <f>HLOOKUP(I$1,КАФЕДРА!$DE$1:$EH$75,$B92,0)</f>
        <v>#DIV/0!</v>
      </c>
      <c r="J92" s="639" t="e">
        <f>HLOOKUP(J$1,'Реестр ППС'!#REF!,$B92,0)</f>
        <v>#REF!</v>
      </c>
      <c r="K92" s="639" t="str">
        <f>HLOOKUP(K$1,' "Вуз зож"'!$S$1:$U$75,$B92,0)</f>
        <v>0,0%
=0,0/7,0</v>
      </c>
      <c r="L92" s="554" t="e">
        <f>HLOOKUP(L$1,КАФЕДРА!$DE$1:$EH$75,$B92,0)</f>
        <v>#REF!</v>
      </c>
      <c r="M92" s="554"/>
      <c r="N92" s="554"/>
      <c r="O92" s="229" t="e">
        <f>ROUND(HLOOKUP(O$1,КАФЕДРА!$CY$1:$EH$75,$B92,0)+M92+N92,1)</f>
        <v>#REF!</v>
      </c>
      <c r="P92" s="507" t="e">
        <f t="shared" si="2"/>
        <v>#REF!</v>
      </c>
      <c r="Q92" s="227"/>
      <c r="R92" s="227"/>
      <c r="S92" s="227"/>
      <c r="T92" s="230" t="str">
        <f>HLOOKUP(T$1,КАФЕДРА!$DE$1:$EH$75,$B92,0)</f>
        <v>ОЗДОРОВЬЯ</v>
      </c>
      <c r="U92" s="161" t="e">
        <f>HLOOKUP(U$1,КАФЕДРА!$CP$1:$EH$75,$B92,0)</f>
        <v>#REF!</v>
      </c>
      <c r="V92" s="161" t="e">
        <f>HLOOKUP(V$1,КАФЕДРА!$CP$1:$EH$75,$B92,0)</f>
        <v>#REF!</v>
      </c>
      <c r="W92" s="161" t="e">
        <f>HLOOKUP(W$1,КАФЕДРА!$CP$1:$EH$75,$B92,0)</f>
        <v>#REF!</v>
      </c>
    </row>
    <row r="93" spans="1:24" ht="30" x14ac:dyDescent="0.2">
      <c r="A93" s="457"/>
      <c r="B93" s="31">
        <v>55</v>
      </c>
      <c r="C93" s="230" t="str">
        <f>HLOOKUP(C$1,КАФЕДРА!$DE$1:$EH$77,$B93,0)</f>
        <v>Дерматовенерологии, косметологии и иммунологии</v>
      </c>
      <c r="D93" s="554" t="e">
        <f>HLOOKUP(D$1,КАФЕДРА!$DE$1:$EH$75,$B93,0)</f>
        <v>#DIV/0!</v>
      </c>
      <c r="E93" s="554" t="e">
        <f>HLOOKUP(E$1,КАФЕДРА!$DE$1:$EH$75,$B93,0)</f>
        <v>#DIV/0!</v>
      </c>
      <c r="F93" s="554" t="e">
        <f>HLOOKUP(F$1,КАФЕДРА!$DE$1:$EH$75,$B93,0)</f>
        <v>#DIV/0!</v>
      </c>
      <c r="G93" s="554" t="e">
        <f>HLOOKUP(G$1,КАФЕДРА!$DE$1:$EH$75,$B93,0)</f>
        <v>#DIV/0!</v>
      </c>
      <c r="H93" s="554" t="e">
        <f>HLOOKUP(H$1,КАФЕДРА!$DE$1:$EH$75,$B93,0)</f>
        <v>#DIV/0!</v>
      </c>
      <c r="I93" s="554" t="e">
        <f>HLOOKUP(I$1,КАФЕДРА!$DE$1:$EH$75,$B93,0)</f>
        <v>#DIV/0!</v>
      </c>
      <c r="J93" s="639" t="e">
        <f>HLOOKUP(J$1,'Реестр ППС'!#REF!,$B93,0)</f>
        <v>#REF!</v>
      </c>
      <c r="K93" s="639" t="str">
        <f>HLOOKUP(K$1,' "Вуз зож"'!$S$1:$U$75,$B93,0)</f>
        <v>0,0%
=0,0/7,0</v>
      </c>
      <c r="L93" s="554" t="e">
        <f>HLOOKUP(L$1,КАФЕДРА!$DE$1:$EH$75,$B93,0)</f>
        <v>#REF!</v>
      </c>
      <c r="M93" s="554"/>
      <c r="N93" s="554"/>
      <c r="O93" s="229" t="e">
        <f>ROUND(HLOOKUP(O$1,КАФЕДРА!$CY$1:$EH$75,$B93,0)+M93+N93,1)</f>
        <v>#REF!</v>
      </c>
      <c r="P93" s="507" t="e">
        <f t="shared" si="2"/>
        <v>#REF!</v>
      </c>
      <c r="Q93" s="227"/>
      <c r="R93" s="227"/>
      <c r="S93" s="227"/>
      <c r="T93" s="230" t="str">
        <f>HLOOKUP(T$1,КАФЕДРА!$DE$1:$EH$75,$B93,0)</f>
        <v>ОЗДОРОВЬЯ</v>
      </c>
      <c r="U93" s="161" t="e">
        <f>HLOOKUP(U$1,КАФЕДРА!$CP$1:$EH$75,$B93,0)</f>
        <v>#REF!</v>
      </c>
      <c r="V93" s="161" t="e">
        <f>HLOOKUP(V$1,КАФЕДРА!$CP$1:$EH$75,$B93,0)</f>
        <v>#REF!</v>
      </c>
      <c r="W93" s="161" t="e">
        <f>HLOOKUP(W$1,КАФЕДРА!$CP$1:$EH$75,$B93,0)</f>
        <v>#REF!</v>
      </c>
    </row>
    <row r="94" spans="1:24" ht="30" x14ac:dyDescent="0.2">
      <c r="A94" s="457"/>
      <c r="B94" s="31">
        <v>56</v>
      </c>
      <c r="C94" s="230" t="str">
        <f>HLOOKUP(C$1,КАФЕДРА!$DE$1:$EH$77,$B94,0)</f>
        <v>Инфекционных болезней с курсом ДПО</v>
      </c>
      <c r="D94" s="554" t="e">
        <f>HLOOKUP(D$1,КАФЕДРА!$DE$1:$EH$75,$B94,0)</f>
        <v>#DIV/0!</v>
      </c>
      <c r="E94" s="554" t="e">
        <f>HLOOKUP(E$1,КАФЕДРА!$DE$1:$EH$75,$B94,0)</f>
        <v>#DIV/0!</v>
      </c>
      <c r="F94" s="554" t="e">
        <f>HLOOKUP(F$1,КАФЕДРА!$DE$1:$EH$75,$B94,0)</f>
        <v>#DIV/0!</v>
      </c>
      <c r="G94" s="554" t="e">
        <f>HLOOKUP(G$1,КАФЕДРА!$DE$1:$EH$75,$B94,0)</f>
        <v>#DIV/0!</v>
      </c>
      <c r="H94" s="554" t="e">
        <f>HLOOKUP(H$1,КАФЕДРА!$DE$1:$EH$75,$B94,0)</f>
        <v>#DIV/0!</v>
      </c>
      <c r="I94" s="554" t="e">
        <f>HLOOKUP(I$1,КАФЕДРА!$DE$1:$EH$75,$B94,0)</f>
        <v>#DIV/0!</v>
      </c>
      <c r="J94" s="639" t="e">
        <f>HLOOKUP(J$1,'Реестр ППС'!#REF!,$B94,0)</f>
        <v>#REF!</v>
      </c>
      <c r="K94" s="639" t="str">
        <f>HLOOKUP(K$1,' "Вуз зож"'!$S$1:$U$75,$B94,0)</f>
        <v>0,0%
=0,0/7,0</v>
      </c>
      <c r="L94" s="554" t="e">
        <f>HLOOKUP(L$1,КАФЕДРА!$DE$1:$EH$75,$B94,0)</f>
        <v>#REF!</v>
      </c>
      <c r="M94" s="554">
        <f>2+2</f>
        <v>4</v>
      </c>
      <c r="N94" s="554"/>
      <c r="O94" s="229" t="e">
        <f>ROUND(HLOOKUP(O$1,КАФЕДРА!$CY$1:$EH$75,$B94,0)+M94+N94,1)</f>
        <v>#REF!</v>
      </c>
      <c r="P94" s="507" t="e">
        <f t="shared" si="2"/>
        <v>#REF!</v>
      </c>
      <c r="Q94" s="227"/>
      <c r="R94" s="227"/>
      <c r="S94" s="227"/>
      <c r="T94" s="230" t="str">
        <f>HLOOKUP(T$1,КАФЕДРА!$DE$1:$EH$75,$B94,0)</f>
        <v>ОЗДОРОВЬЯ</v>
      </c>
      <c r="U94" s="161" t="e">
        <f>HLOOKUP(U$1,КАФЕДРА!$CP$1:$EH$75,$B94,0)</f>
        <v>#REF!</v>
      </c>
      <c r="V94" s="161" t="e">
        <f>HLOOKUP(V$1,КАФЕДРА!$CP$1:$EH$75,$B94,0)</f>
        <v>#REF!</v>
      </c>
      <c r="W94" s="161" t="e">
        <f>HLOOKUP(W$1,КАФЕДРА!$CP$1:$EH$75,$B94,0)</f>
        <v>#REF!</v>
      </c>
    </row>
    <row r="95" spans="1:24" ht="45" x14ac:dyDescent="0.2">
      <c r="A95" s="457"/>
      <c r="B95" s="31">
        <v>57</v>
      </c>
      <c r="C95" s="230" t="str">
        <f>HLOOKUP(C$1,КАФЕДРА!$DE$1:$EH$77,$B95,0)</f>
        <v>Медицины катастроф и безопасности жизнедеятельности</v>
      </c>
      <c r="D95" s="554" t="e">
        <f>HLOOKUP(D$1,КАФЕДРА!$DE$1:$EH$75,$B95,0)</f>
        <v>#DIV/0!</v>
      </c>
      <c r="E95" s="554" t="e">
        <f>HLOOKUP(E$1,КАФЕДРА!$DE$1:$EH$75,$B95,0)</f>
        <v>#DIV/0!</v>
      </c>
      <c r="F95" s="554" t="e">
        <f>HLOOKUP(F$1,КАФЕДРА!$DE$1:$EH$75,$B95,0)</f>
        <v>#DIV/0!</v>
      </c>
      <c r="G95" s="554" t="e">
        <f>HLOOKUP(G$1,КАФЕДРА!$DE$1:$EH$75,$B95,0)</f>
        <v>#DIV/0!</v>
      </c>
      <c r="H95" s="554" t="e">
        <f>HLOOKUP(H$1,КАФЕДРА!$DE$1:$EH$75,$B95,0)</f>
        <v>#DIV/0!</v>
      </c>
      <c r="I95" s="554" t="e">
        <f>HLOOKUP(I$1,КАФЕДРА!$DE$1:$EH$75,$B95,0)</f>
        <v>#DIV/0!</v>
      </c>
      <c r="J95" s="639" t="e">
        <f>HLOOKUP(J$1,'Реестр ППС'!#REF!,$B95,0)</f>
        <v>#REF!</v>
      </c>
      <c r="K95" s="639" t="str">
        <f>HLOOKUP(K$1,' "Вуз зож"'!$S$1:$U$75,$B95,0)</f>
        <v>0,0%
=0,0/7,0</v>
      </c>
      <c r="L95" s="554" t="e">
        <f>HLOOKUP(L$1,КАФЕДРА!$DE$1:$EH$75,$B95,0)</f>
        <v>#REF!</v>
      </c>
      <c r="M95" s="554"/>
      <c r="N95" s="554"/>
      <c r="O95" s="229" t="e">
        <f>ROUND(HLOOKUP(O$1,КАФЕДРА!$CY$1:$EH$75,$B95,0)+M95+N95,1)</f>
        <v>#REF!</v>
      </c>
      <c r="P95" s="507" t="e">
        <f t="shared" si="2"/>
        <v>#REF!</v>
      </c>
      <c r="Q95" s="227"/>
      <c r="R95" s="227"/>
      <c r="S95" s="227"/>
      <c r="T95" s="230" t="str">
        <f>HLOOKUP(T$1,КАФЕДРА!$DE$1:$EH$75,$B95,0)</f>
        <v>ОЗДОРОВЬЯ</v>
      </c>
      <c r="U95" s="161" t="e">
        <f>HLOOKUP(U$1,КАФЕДРА!$CP$1:$EH$75,$B95,0)</f>
        <v>#REF!</v>
      </c>
      <c r="V95" s="161" t="e">
        <f>HLOOKUP(V$1,КАФЕДРА!$CP$1:$EH$75,$B95,0)</f>
        <v>#REF!</v>
      </c>
      <c r="W95" s="161" t="e">
        <f>HLOOKUP(W$1,КАФЕДРА!$CP$1:$EH$75,$B95,0)</f>
        <v>#REF!</v>
      </c>
    </row>
    <row r="96" spans="1:24" ht="30" x14ac:dyDescent="0.2">
      <c r="A96" s="457"/>
      <c r="B96" s="31">
        <v>58</v>
      </c>
      <c r="C96" s="230" t="str">
        <f>HLOOKUP(C$1,КАФЕДРА!$DE$1:$EH$77,$B96,0)</f>
        <v>Медицинского права</v>
      </c>
      <c r="D96" s="554" t="e">
        <f>HLOOKUP(D$1,КАФЕДРА!$DE$1:$EH$75,$B96,0)</f>
        <v>#DIV/0!</v>
      </c>
      <c r="E96" s="554" t="e">
        <f>HLOOKUP(E$1,КАФЕДРА!$DE$1:$EH$75,$B96,0)</f>
        <v>#DIV/0!</v>
      </c>
      <c r="F96" s="554" t="e">
        <f>HLOOKUP(F$1,КАФЕДРА!$DE$1:$EH$75,$B96,0)</f>
        <v>#DIV/0!</v>
      </c>
      <c r="G96" s="554" t="e">
        <f>HLOOKUP(G$1,КАФЕДРА!$DE$1:$EH$75,$B96,0)</f>
        <v>#DIV/0!</v>
      </c>
      <c r="H96" s="554" t="e">
        <f>HLOOKUP(H$1,КАФЕДРА!$DE$1:$EH$75,$B96,0)</f>
        <v>#DIV/0!</v>
      </c>
      <c r="I96" s="554" t="e">
        <f>HLOOKUP(I$1,КАФЕДРА!$DE$1:$EH$75,$B96,0)</f>
        <v>#DIV/0!</v>
      </c>
      <c r="J96" s="639" t="e">
        <f>HLOOKUP(J$1,'Реестр ППС'!#REF!,$B96,0)</f>
        <v>#REF!</v>
      </c>
      <c r="K96" s="639" t="str">
        <f>HLOOKUP(K$1,' "Вуз зож"'!$S$1:$U$75,$B96,0)</f>
        <v>0,0%
=0,0/7,0</v>
      </c>
      <c r="L96" s="554" t="e">
        <f>HLOOKUP(L$1,КАФЕДРА!$DE$1:$EH$75,$B96,0)</f>
        <v>#REF!</v>
      </c>
      <c r="M96" s="554"/>
      <c r="N96" s="554"/>
      <c r="O96" s="229" t="e">
        <f>ROUND(HLOOKUP(O$1,КАФЕДРА!$CY$1:$EH$75,$B96,0)+M96+N96,1)</f>
        <v>#REF!</v>
      </c>
      <c r="P96" s="507" t="e">
        <f t="shared" si="2"/>
        <v>#REF!</v>
      </c>
      <c r="Q96" s="227"/>
      <c r="R96" s="227"/>
      <c r="S96" s="227"/>
      <c r="T96" s="230" t="str">
        <f>HLOOKUP(T$1,КАФЕДРА!$DE$1:$EH$75,$B96,0)</f>
        <v>ОЗДОРОВЬЯ</v>
      </c>
      <c r="U96" s="161" t="e">
        <f>HLOOKUP(U$1,КАФЕДРА!$CP$1:$EH$75,$B96,0)</f>
        <v>#REF!</v>
      </c>
      <c r="V96" s="161" t="e">
        <f>HLOOKUP(V$1,КАФЕДРА!$CP$1:$EH$75,$B96,0)</f>
        <v>#REF!</v>
      </c>
      <c r="W96" s="161" t="e">
        <f>HLOOKUP(W$1,КАФЕДРА!$CP$1:$EH$75,$B96,0)</f>
        <v>#REF!</v>
      </c>
    </row>
    <row r="97" spans="1:23" ht="30" x14ac:dyDescent="0.2">
      <c r="A97" s="457"/>
      <c r="B97" s="31">
        <v>59</v>
      </c>
      <c r="C97" s="230" t="str">
        <f>HLOOKUP(C$1,КАФЕДРА!$DE$1:$EH$77,$B97,0)</f>
        <v>Общественного здоровья и здравоохранения</v>
      </c>
      <c r="D97" s="554" t="e">
        <f>HLOOKUP(D$1,КАФЕДРА!$DE$1:$EH$75,$B97,0)</f>
        <v>#DIV/0!</v>
      </c>
      <c r="E97" s="554" t="e">
        <f>HLOOKUP(E$1,КАФЕДРА!$DE$1:$EH$75,$B97,0)</f>
        <v>#DIV/0!</v>
      </c>
      <c r="F97" s="554" t="e">
        <f>HLOOKUP(F$1,КАФЕДРА!$DE$1:$EH$75,$B97,0)</f>
        <v>#DIV/0!</v>
      </c>
      <c r="G97" s="554" t="e">
        <f>HLOOKUP(G$1,КАФЕДРА!$DE$1:$EH$75,$B97,0)</f>
        <v>#DIV/0!</v>
      </c>
      <c r="H97" s="554" t="e">
        <f>HLOOKUP(H$1,КАФЕДРА!$DE$1:$EH$75,$B97,0)</f>
        <v>#DIV/0!</v>
      </c>
      <c r="I97" s="554" t="e">
        <f>HLOOKUP(I$1,КАФЕДРА!$DE$1:$EH$75,$B97,0)</f>
        <v>#DIV/0!</v>
      </c>
      <c r="J97" s="639" t="e">
        <f>HLOOKUP(J$1,'Реестр ППС'!#REF!,$B97,0)</f>
        <v>#REF!</v>
      </c>
      <c r="K97" s="639" t="str">
        <f>HLOOKUP(K$1,' "Вуз зож"'!$S$1:$U$75,$B97,0)</f>
        <v>0,0%
=0,0/7,0</v>
      </c>
      <c r="L97" s="554" t="e">
        <f>HLOOKUP(L$1,КАФЕДРА!$DE$1:$EH$75,$B97,0)</f>
        <v>#REF!</v>
      </c>
      <c r="M97" s="554"/>
      <c r="N97" s="554">
        <f>-3</f>
        <v>-3</v>
      </c>
      <c r="O97" s="229" t="e">
        <f>ROUND(HLOOKUP(O$1,КАФЕДРА!$CY$1:$EH$75,$B97,0)+M97+N97,1)</f>
        <v>#REF!</v>
      </c>
      <c r="P97" s="507" t="e">
        <f t="shared" si="2"/>
        <v>#REF!</v>
      </c>
      <c r="Q97" s="227"/>
      <c r="R97" s="227"/>
      <c r="S97" s="227"/>
      <c r="T97" s="230" t="str">
        <f>HLOOKUP(T$1,КАФЕДРА!$DE$1:$EH$75,$B97,0)</f>
        <v>ОЗДОРОВЬЯ</v>
      </c>
      <c r="U97" s="161" t="e">
        <f>HLOOKUP(U$1,КАФЕДРА!$CP$1:$EH$75,$B97,0)</f>
        <v>#REF!</v>
      </c>
      <c r="V97" s="161" t="e">
        <f>HLOOKUP(V$1,КАФЕДРА!$CP$1:$EH$75,$B97,0)</f>
        <v>#REF!</v>
      </c>
      <c r="W97" s="161" t="e">
        <f>HLOOKUP(W$1,КАФЕДРА!$CP$1:$EH$75,$B97,0)</f>
        <v>#REF!</v>
      </c>
    </row>
    <row r="98" spans="1:23" ht="30" x14ac:dyDescent="0.2">
      <c r="A98" s="457"/>
      <c r="B98" s="31">
        <v>60</v>
      </c>
      <c r="C98" s="230" t="str">
        <f>HLOOKUP(C$1,КАФЕДРА!$DE$1:$EH$77,$B98,0)</f>
        <v>Пульмонологии и фтизиатрии с курсом ДПО</v>
      </c>
      <c r="D98" s="554" t="e">
        <f>HLOOKUP(D$1,КАФЕДРА!$DE$1:$EH$75,$B98,0)</f>
        <v>#DIV/0!</v>
      </c>
      <c r="E98" s="866" t="e">
        <f>HLOOKUP(E$1,КАФЕДРА!$DE$1:$EH$75,$B98,0)</f>
        <v>#DIV/0!</v>
      </c>
      <c r="F98" s="554" t="e">
        <f>HLOOKUP(F$1,КАФЕДРА!$DE$1:$EH$75,$B98,0)</f>
        <v>#DIV/0!</v>
      </c>
      <c r="G98" s="554" t="e">
        <f>HLOOKUP(G$1,КАФЕДРА!$DE$1:$EH$75,$B98,0)</f>
        <v>#DIV/0!</v>
      </c>
      <c r="H98" s="554" t="e">
        <f>HLOOKUP(H$1,КАФЕДРА!$DE$1:$EH$75,$B98,0)</f>
        <v>#DIV/0!</v>
      </c>
      <c r="I98" s="554" t="e">
        <f>HLOOKUP(I$1,КАФЕДРА!$DE$1:$EH$75,$B98,0)</f>
        <v>#DIV/0!</v>
      </c>
      <c r="J98" s="639" t="e">
        <f>HLOOKUP(J$1,'Реестр ППС'!#REF!,$B98,0)</f>
        <v>#REF!</v>
      </c>
      <c r="K98" s="639" t="str">
        <f>HLOOKUP(K$1,' "Вуз зож"'!$S$1:$U$75,$B98,0)</f>
        <v>0,0%
=0,0/7,0</v>
      </c>
      <c r="L98" s="554" t="e">
        <f>HLOOKUP(L$1,КАФЕДРА!$DE$1:$EH$75,$B98,0)</f>
        <v>#REF!</v>
      </c>
      <c r="M98" s="639"/>
      <c r="N98" s="554"/>
      <c r="O98" s="229" t="e">
        <f>ROUND(HLOOKUP(O$1,КАФЕДРА!$CY$1:$EH$75,$B98,0)+M98+N98,1)</f>
        <v>#REF!</v>
      </c>
      <c r="P98" s="507" t="e">
        <f t="shared" si="2"/>
        <v>#REF!</v>
      </c>
      <c r="Q98" s="227"/>
      <c r="R98" s="227"/>
      <c r="S98" s="227"/>
      <c r="T98" s="230" t="str">
        <f>HLOOKUP(T$1,КАФЕДРА!$DE$1:$EH$75,$B98,0)</f>
        <v>ОЗДОРОВЬЯ</v>
      </c>
      <c r="U98" s="161" t="e">
        <f>HLOOKUP(U$1,КАФЕДРА!$CP$1:$EH$75,$B98,0)</f>
        <v>#REF!</v>
      </c>
      <c r="V98" s="161" t="e">
        <f>HLOOKUP(V$1,КАФЕДРА!$CP$1:$EH$75,$B98,0)</f>
        <v>#REF!</v>
      </c>
      <c r="W98" s="161" t="e">
        <f>HLOOKUP(W$1,КАФЕДРА!$CP$1:$EH$75,$B98,0)</f>
        <v>#REF!</v>
      </c>
    </row>
    <row r="99" spans="1:23" ht="30" x14ac:dyDescent="0.2">
      <c r="A99" s="457"/>
      <c r="B99" s="31">
        <v>61</v>
      </c>
      <c r="C99" s="230" t="str">
        <f>HLOOKUP(C$1,КАФЕДРА!$DE$1:$EH$77,$B99,0)</f>
        <v>Эпидемиологии, микробиологии и вирусологии</v>
      </c>
      <c r="D99" s="866" t="e">
        <f>HLOOKUP(D$1,КАФЕДРА!$DE$1:$EH$75,$B99,0)</f>
        <v>#DIV/0!</v>
      </c>
      <c r="E99" s="866" t="e">
        <f>HLOOKUP(E$1,КАФЕДРА!$DE$1:$EH$75,$B99,0)</f>
        <v>#DIV/0!</v>
      </c>
      <c r="F99" s="866" t="e">
        <f>HLOOKUP(F$1,КАФЕДРА!$DE$1:$EH$75,$B99,0)</f>
        <v>#DIV/0!</v>
      </c>
      <c r="G99" s="866" t="e">
        <f>HLOOKUP(G$1,КАФЕДРА!$DE$1:$EH$75,$B99,0)</f>
        <v>#DIV/0!</v>
      </c>
      <c r="H99" s="866" t="e">
        <f>HLOOKUP(H$1,КАФЕДРА!$DE$1:$EH$75,$B99,0)</f>
        <v>#DIV/0!</v>
      </c>
      <c r="I99" s="866" t="e">
        <f>HLOOKUP(I$1,КАФЕДРА!$DE$1:$EH$75,$B99,0)</f>
        <v>#DIV/0!</v>
      </c>
      <c r="J99" s="866" t="e">
        <f>HLOOKUP(J$1,'Реестр ППС'!#REF!,$B99,0)</f>
        <v>#REF!</v>
      </c>
      <c r="K99" s="866" t="str">
        <f>HLOOKUP(K$1,' "Вуз зож"'!$S$1:$U$75,$B99,0)</f>
        <v>0,0%
=0,0/7,0</v>
      </c>
      <c r="L99" s="866" t="e">
        <f>HLOOKUP(L$1,КАФЕДРА!$DE$1:$EH$75,$B99,0)</f>
        <v>#REF!</v>
      </c>
      <c r="M99" s="866"/>
      <c r="N99" s="866"/>
      <c r="O99" s="229" t="e">
        <f>ROUND(HLOOKUP(O$1,КАФЕДРА!$CY$1:$EH$75,$B99,0)+M99+N99,1)</f>
        <v>#REF!</v>
      </c>
      <c r="P99" s="507" t="e">
        <f t="shared" si="2"/>
        <v>#REF!</v>
      </c>
      <c r="Q99" s="227"/>
      <c r="R99" s="227"/>
      <c r="S99" s="227"/>
      <c r="T99" s="230" t="str">
        <f>HLOOKUP(T$1,КАФЕДРА!$DE$1:$EH$75,$B99,0)</f>
        <v>ОЗДОРОВЬЯ</v>
      </c>
      <c r="U99" s="161" t="e">
        <f>HLOOKUP(U$1,КАФЕДРА!$CP$1:$EH$75,$B99,0)</f>
        <v>#REF!</v>
      </c>
      <c r="V99" s="161" t="e">
        <f>HLOOKUP(V$1,КАФЕДРА!$CP$1:$EH$75,$B99,0)</f>
        <v>#REF!</v>
      </c>
      <c r="W99" s="161" t="e">
        <f>HLOOKUP(W$1,КАФЕДРА!$CP$1:$EH$75,$B99,0)</f>
        <v>#REF!</v>
      </c>
    </row>
    <row r="100" spans="1:23" ht="30.75" thickBot="1" x14ac:dyDescent="0.25">
      <c r="A100" s="457"/>
      <c r="B100" s="31">
        <v>62</v>
      </c>
      <c r="C100" s="1499" t="str">
        <f>HLOOKUP(C$1,КАФЕДРА!$DE$1:$EH$77,$B100,0)</f>
        <v>Социально-гуманитарных наук</v>
      </c>
      <c r="D100" s="884" t="e">
        <f>HLOOKUP(D$1,КАФЕДРА!$DE$1:$EH$75,$B100,0)</f>
        <v>#DIV/0!</v>
      </c>
      <c r="E100" s="884" t="e">
        <f>HLOOKUP(E$1,КАФЕДРА!$DE$1:$EH$75,$B100,0)</f>
        <v>#DIV/0!</v>
      </c>
      <c r="F100" s="884" t="e">
        <f>HLOOKUP(F$1,КАФЕДРА!$DE$1:$EH$75,$B100,0)</f>
        <v>#DIV/0!</v>
      </c>
      <c r="G100" s="884" t="e">
        <f>HLOOKUP(G$1,КАФЕДРА!$DE$1:$EH$75,$B100,0)</f>
        <v>#DIV/0!</v>
      </c>
      <c r="H100" s="884" t="e">
        <f>HLOOKUP(H$1,КАФЕДРА!$DE$1:$EH$75,$B100,0)</f>
        <v>#DIV/0!</v>
      </c>
      <c r="I100" s="884" t="e">
        <f>HLOOKUP(I$1,КАФЕДРА!$DE$1:$EH$75,$B100,0)</f>
        <v>#DIV/0!</v>
      </c>
      <c r="J100" s="884" t="e">
        <f>HLOOKUP(J$1,'Реестр ППС'!#REF!,$B100,0)</f>
        <v>#REF!</v>
      </c>
      <c r="K100" s="884" t="str">
        <f>HLOOKUP(K$1,' "Вуз зож"'!$S$1:$U$75,$B100,0)</f>
        <v>0,0%
=0,0/7,0</v>
      </c>
      <c r="L100" s="884" t="e">
        <f>HLOOKUP(L$1,КАФЕДРА!$DE$1:$EH$75,$B100,0)</f>
        <v>#REF!</v>
      </c>
      <c r="M100" s="884"/>
      <c r="N100" s="884"/>
      <c r="O100" s="885" t="e">
        <f>ROUND(HLOOKUP(O$1,КАФЕДРА!$CY$1:$EH$75,$B100,0)+M100+N100,1)</f>
        <v>#REF!</v>
      </c>
      <c r="P100" s="893" t="e">
        <f t="shared" si="2"/>
        <v>#REF!</v>
      </c>
      <c r="Q100" s="227"/>
      <c r="R100" s="227"/>
      <c r="S100" s="227"/>
      <c r="T100" s="752" t="str">
        <f>HLOOKUP(T$1,КАФЕДРА!$DE$1:$EH$75,$B100,0)</f>
        <v>ОЗДОРОВЬЯ</v>
      </c>
      <c r="U100" s="894" t="e">
        <f>HLOOKUP(U$1,КАФЕДРА!$CP$1:$EH$75,$B100,0)</f>
        <v>#REF!</v>
      </c>
      <c r="V100" s="894" t="e">
        <f>HLOOKUP(V$1,КАФЕДРА!$CP$1:$EH$75,$B100,0)</f>
        <v>#REF!</v>
      </c>
      <c r="W100" s="894" t="e">
        <f>HLOOKUP(W$1,КАФЕДРА!$CP$1:$EH$75,$B100,0)</f>
        <v>#REF!</v>
      </c>
    </row>
    <row r="101" spans="1:23" ht="30.75" thickBot="1" x14ac:dyDescent="0.25">
      <c r="A101" s="457"/>
      <c r="B101" s="31">
        <v>63</v>
      </c>
      <c r="C101" s="753" t="str">
        <f>HLOOKUP(C$1,КАФЕДРА!$DE$1:$EH$77,$B101,0)</f>
        <v>Сестринского дела</v>
      </c>
      <c r="D101" s="754" t="e">
        <f>HLOOKUP(D$1,КАФЕДРА!$DE$1:$EH$75,$B101,0)</f>
        <v>#DIV/0!</v>
      </c>
      <c r="E101" s="754" t="e">
        <f>HLOOKUP(E$1,КАФЕДРА!$DE$1:$EH$75,$B101,0)</f>
        <v>#DIV/0!</v>
      </c>
      <c r="F101" s="754" t="e">
        <f>HLOOKUP(F$1,КАФЕДРА!$DE$1:$EH$75,$B101,0)</f>
        <v>#DIV/0!</v>
      </c>
      <c r="G101" s="754" t="e">
        <f>HLOOKUP(G$1,КАФЕДРА!$DE$1:$EH$75,$B101,0)</f>
        <v>#DIV/0!</v>
      </c>
      <c r="H101" s="754" t="e">
        <f>HLOOKUP(H$1,КАФЕДРА!$DE$1:$EH$75,$B101,0)</f>
        <v>#DIV/0!</v>
      </c>
      <c r="I101" s="754" t="e">
        <f>HLOOKUP(I$1,КАФЕДРА!$DE$1:$EH$75,$B101,0)</f>
        <v>#DIV/0!</v>
      </c>
      <c r="J101" s="754" t="e">
        <f>HLOOKUP(J$1,'Реестр ППС'!#REF!,$B101,0)</f>
        <v>#REF!</v>
      </c>
      <c r="K101" s="754" t="str">
        <f>HLOOKUP(K$1,' "Вуз зож"'!$S$1:$U$75,$B101,0)</f>
        <v>0,0%
=0,0/7,0</v>
      </c>
      <c r="L101" s="754" t="e">
        <f>HLOOKUP(L$1,КАФЕДРА!$DE$1:$EH$75,$B101,0)</f>
        <v>#REF!</v>
      </c>
      <c r="M101" s="754"/>
      <c r="N101" s="754"/>
      <c r="O101" s="755" t="e">
        <f>ROUND(HLOOKUP(O$1,КАФЕДРА!$CY$1:$EH$75,$B101,0)+M101+N101,1)</f>
        <v>#REF!</v>
      </c>
      <c r="P101" s="895" t="e">
        <f t="shared" si="2"/>
        <v>#REF!</v>
      </c>
      <c r="Q101" s="896"/>
      <c r="R101" s="896"/>
      <c r="S101" s="896"/>
      <c r="T101" s="753" t="str">
        <f>HLOOKUP(T$1,КАФЕДРА!$DE$1:$EH$75,$B101,0)</f>
        <v>СПО</v>
      </c>
      <c r="U101" s="897" t="e">
        <f>HLOOKUP(U$1,КАФЕДРА!$CP$1:$EH$75,$B101,0)</f>
        <v>#REF!</v>
      </c>
      <c r="V101" s="897" t="e">
        <f>HLOOKUP(V$1,КАФЕДРА!$CP$1:$EH$75,$B101,0)</f>
        <v>#REF!</v>
      </c>
      <c r="W101" s="898" t="e">
        <f>HLOOKUP(W$1,КАФЕДРА!$CP$1:$EH$75,$B101,0)</f>
        <v>#REF!</v>
      </c>
    </row>
    <row r="102" spans="1:23" ht="45" x14ac:dyDescent="0.2">
      <c r="A102" s="457"/>
      <c r="B102" s="31">
        <v>64</v>
      </c>
      <c r="C102" s="746" t="str">
        <f>HLOOKUP(C$1,КАФЕДРА!$DE$1:$EH$77,$B102,0)</f>
        <v>Биологической химии, клинической лабораторной диагностики</v>
      </c>
      <c r="D102" s="748" t="e">
        <f>HLOOKUP(D$1,КАФЕДРА!$DE$1:$EH$75,$B102,0)</f>
        <v>#DIV/0!</v>
      </c>
      <c r="E102" s="748" t="e">
        <f>HLOOKUP(E$1,КАФЕДРА!$DE$1:$EH$75,$B102,0)</f>
        <v>#DIV/0!</v>
      </c>
      <c r="F102" s="748" t="e">
        <f>HLOOKUP(F$1,КАФЕДРА!$DE$1:$EH$75,$B102,0)</f>
        <v>#DIV/0!</v>
      </c>
      <c r="G102" s="748" t="e">
        <f>HLOOKUP(G$1,КАФЕДРА!$DE$1:$EH$75,$B102,0)</f>
        <v>#DIV/0!</v>
      </c>
      <c r="H102" s="748" t="e">
        <f>HLOOKUP(H$1,КАФЕДРА!$DE$1:$EH$75,$B102,0)</f>
        <v>#DIV/0!</v>
      </c>
      <c r="I102" s="748" t="e">
        <f>HLOOKUP(I$1,КАФЕДРА!$DE$1:$EH$75,$B102,0)</f>
        <v>#DIV/0!</v>
      </c>
      <c r="J102" s="748" t="e">
        <f>HLOOKUP(J$1,'Реестр ППС'!#REF!,$B102,0)</f>
        <v>#REF!</v>
      </c>
      <c r="K102" s="748" t="str">
        <f>HLOOKUP(K$1,' "Вуз зож"'!$S$1:$U$75,$B102,0)</f>
        <v>0,0%
=0,0/7,0</v>
      </c>
      <c r="L102" s="748" t="e">
        <f>HLOOKUP(L$1,КАФЕДРА!$DE$1:$EH$75,$B102,0)</f>
        <v>#REF!</v>
      </c>
      <c r="M102" s="748"/>
      <c r="N102" s="748"/>
      <c r="O102" s="749" t="e">
        <f>ROUND(HLOOKUP(O$1,КАФЕДРА!$CY$1:$EH$75,$B102,0)+M102+N102,1)</f>
        <v>#REF!</v>
      </c>
      <c r="P102" s="886" t="e">
        <f t="shared" si="2"/>
        <v>#REF!</v>
      </c>
      <c r="Q102" s="227"/>
      <c r="R102" s="227"/>
      <c r="S102" s="227"/>
      <c r="T102" s="746" t="str">
        <f>HLOOKUP(T$1,КАФЕДРА!$DE$1:$EH$75,$B102,0)</f>
        <v>ФАРМ</v>
      </c>
      <c r="U102" s="887" t="e">
        <f>HLOOKUP(U$1,КАФЕДРА!$CP$1:$EH$75,$B102,0)</f>
        <v>#REF!</v>
      </c>
      <c r="V102" s="887" t="e">
        <f>HLOOKUP(V$1,КАФЕДРА!$CP$1:$EH$75,$B102,0)</f>
        <v>#REF!</v>
      </c>
      <c r="W102" s="887" t="e">
        <f>HLOOKUP(W$1,КАФЕДРА!$CP$1:$EH$75,$B102,0)</f>
        <v>#REF!</v>
      </c>
    </row>
    <row r="103" spans="1:23" ht="30" x14ac:dyDescent="0.2">
      <c r="A103" s="457"/>
      <c r="B103" s="31">
        <v>65</v>
      </c>
      <c r="C103" s="230" t="str">
        <f>HLOOKUP(C$1,КАФЕДРА!$DE$1:$EH$77,$B103,0)</f>
        <v>Химии</v>
      </c>
      <c r="D103" s="554" t="e">
        <f>HLOOKUP(D$1,КАФЕДРА!$DE$1:$EH$75,$B103,0)</f>
        <v>#DIV/0!</v>
      </c>
      <c r="E103" s="554" t="e">
        <f>HLOOKUP(E$1,КАФЕДРА!$DE$1:$EH$75,$B103,0)</f>
        <v>#DIV/0!</v>
      </c>
      <c r="F103" s="554" t="e">
        <f>HLOOKUP(F$1,КАФЕДРА!$DE$1:$EH$75,$B103,0)</f>
        <v>#DIV/0!</v>
      </c>
      <c r="G103" s="554" t="e">
        <f>HLOOKUP(G$1,КАФЕДРА!$DE$1:$EH$75,$B103,0)</f>
        <v>#DIV/0!</v>
      </c>
      <c r="H103" s="554" t="e">
        <f>HLOOKUP(H$1,КАФЕДРА!$DE$1:$EH$75,$B103,0)</f>
        <v>#DIV/0!</v>
      </c>
      <c r="I103" s="554" t="e">
        <f>HLOOKUP(I$1,КАФЕДРА!$DE$1:$EH$75,$B103,0)</f>
        <v>#DIV/0!</v>
      </c>
      <c r="J103" s="639" t="e">
        <f>HLOOKUP(J$1,'Реестр ППС'!#REF!,$B103,0)</f>
        <v>#REF!</v>
      </c>
      <c r="K103" s="639" t="str">
        <f>HLOOKUP(K$1,' "Вуз зож"'!$S$1:$U$75,$B103,0)</f>
        <v>0,0%
=0,0/7,0</v>
      </c>
      <c r="L103" s="554" t="e">
        <f>HLOOKUP(L$1,КАФЕДРА!$DE$1:$EH$75,$B103,0)</f>
        <v>#REF!</v>
      </c>
      <c r="M103" s="554">
        <f>2</f>
        <v>2</v>
      </c>
      <c r="N103" s="554"/>
      <c r="O103" s="229" t="e">
        <f>ROUND(HLOOKUP(O$1,КАФЕДРА!$CY$1:$EH$75,$B103,0)+M103+N103,1)</f>
        <v>#REF!</v>
      </c>
      <c r="P103" s="507" t="e">
        <f t="shared" si="2"/>
        <v>#REF!</v>
      </c>
      <c r="Q103" s="227"/>
      <c r="R103" s="227"/>
      <c r="S103" s="227"/>
      <c r="T103" s="230" t="str">
        <f>HLOOKUP(T$1,КАФЕДРА!$DE$1:$EH$75,$B103,0)</f>
        <v>ФАРМ</v>
      </c>
      <c r="U103" s="161" t="e">
        <f>HLOOKUP(U$1,КАФЕДРА!$CP$1:$EH$75,$B103,0)</f>
        <v>#REF!</v>
      </c>
      <c r="V103" s="161" t="e">
        <f>HLOOKUP(V$1,КАФЕДРА!$CP$1:$EH$75,$B103,0)</f>
        <v>#REF!</v>
      </c>
      <c r="W103" s="161" t="e">
        <f>HLOOKUP(W$1,КАФЕДРА!$CP$1:$EH$75,$B103,0)</f>
        <v>#REF!</v>
      </c>
    </row>
    <row r="104" spans="1:23" ht="30" x14ac:dyDescent="0.2">
      <c r="A104" s="457"/>
      <c r="B104" s="31">
        <v>66</v>
      </c>
      <c r="C104" s="230" t="str">
        <f>HLOOKUP(C$1,КАФЕДРА!$DE$1:$EH$77,$B104,0)</f>
        <v>Фармакологии имени профессора В.М. Брюханова</v>
      </c>
      <c r="D104" s="554" t="e">
        <f>HLOOKUP(D$1,КАФЕДРА!$DE$1:$EH$75,$B104,0)</f>
        <v>#DIV/0!</v>
      </c>
      <c r="E104" s="554" t="e">
        <f>HLOOKUP(E$1,КАФЕДРА!$DE$1:$EH$75,$B104,0)</f>
        <v>#DIV/0!</v>
      </c>
      <c r="F104" s="554" t="e">
        <f>HLOOKUP(F$1,КАФЕДРА!$DE$1:$EH$75,$B104,0)</f>
        <v>#DIV/0!</v>
      </c>
      <c r="G104" s="554" t="e">
        <f>HLOOKUP(G$1,КАФЕДРА!$DE$1:$EH$75,$B104,0)</f>
        <v>#DIV/0!</v>
      </c>
      <c r="H104" s="554" t="e">
        <f>HLOOKUP(H$1,КАФЕДРА!$DE$1:$EH$75,$B104,0)</f>
        <v>#DIV/0!</v>
      </c>
      <c r="I104" s="554" t="e">
        <f>HLOOKUP(I$1,КАФЕДРА!$DE$1:$EH$75,$B104,0)</f>
        <v>#DIV/0!</v>
      </c>
      <c r="J104" s="639" t="e">
        <f>HLOOKUP(J$1,'Реестр ППС'!#REF!,$B104,0)</f>
        <v>#REF!</v>
      </c>
      <c r="K104" s="639" t="str">
        <f>HLOOKUP(K$1,' "Вуз зож"'!$S$1:$U$75,$B104,0)</f>
        <v>0,0%
=0,0/7,0</v>
      </c>
      <c r="L104" s="554" t="e">
        <f>HLOOKUP(L$1,КАФЕДРА!$DE$1:$EH$75,$B104,0)</f>
        <v>#REF!</v>
      </c>
      <c r="M104" s="554"/>
      <c r="N104" s="554"/>
      <c r="O104" s="229" t="e">
        <f>ROUND(HLOOKUP(O$1,КАФЕДРА!$CY$1:$EH$75,$B104,0)+M104+N104,1)</f>
        <v>#REF!</v>
      </c>
      <c r="P104" s="507" t="e">
        <f t="shared" si="2"/>
        <v>#REF!</v>
      </c>
      <c r="Q104" s="227"/>
      <c r="R104" s="227"/>
      <c r="S104" s="227"/>
      <c r="T104" s="230" t="str">
        <f>HLOOKUP(T$1,КАФЕДРА!$DE$1:$EH$75,$B104,0)</f>
        <v>ФАРМ</v>
      </c>
      <c r="U104" s="161" t="e">
        <f>HLOOKUP(U$1,КАФЕДРА!$CP$1:$EH$75,$B104,0)</f>
        <v>#REF!</v>
      </c>
      <c r="V104" s="161" t="e">
        <f>HLOOKUP(V$1,КАФЕДРА!$CP$1:$EH$75,$B104,0)</f>
        <v>#REF!</v>
      </c>
      <c r="W104" s="161" t="e">
        <f>HLOOKUP(W$1,КАФЕДРА!$CP$1:$EH$75,$B104,0)</f>
        <v>#REF!</v>
      </c>
    </row>
    <row r="105" spans="1:23" ht="30" x14ac:dyDescent="0.2">
      <c r="A105" s="457"/>
      <c r="B105" s="31">
        <v>67</v>
      </c>
      <c r="C105" s="230" t="str">
        <f>HLOOKUP(C$1,КАФЕДРА!$DE$1:$EH$77,$B105,0)</f>
        <v>Фармации</v>
      </c>
      <c r="D105" s="866" t="e">
        <f>HLOOKUP(D$1,КАФЕДРА!$DE$1:$EH$75,$B105,0)</f>
        <v>#DIV/0!</v>
      </c>
      <c r="E105" s="866" t="e">
        <f>HLOOKUP(E$1,КАФЕДРА!$DE$1:$EH$75,$B105,0)</f>
        <v>#DIV/0!</v>
      </c>
      <c r="F105" s="866" t="e">
        <f>HLOOKUP(F$1,КАФЕДРА!$DE$1:$EH$75,$B105,0)</f>
        <v>#DIV/0!</v>
      </c>
      <c r="G105" s="866" t="e">
        <f>HLOOKUP(G$1,КАФЕДРА!$DE$1:$EH$75,$B105,0)</f>
        <v>#DIV/0!</v>
      </c>
      <c r="H105" s="866" t="e">
        <f>HLOOKUP(H$1,КАФЕДРА!$DE$1:$EH$75,$B105,0)</f>
        <v>#DIV/0!</v>
      </c>
      <c r="I105" s="866" t="e">
        <f>HLOOKUP(I$1,КАФЕДРА!$DE$1:$EH$75,$B105,0)</f>
        <v>#DIV/0!</v>
      </c>
      <c r="J105" s="866" t="e">
        <f>HLOOKUP(J$1,'Реестр ППС'!#REF!,$B105,0)</f>
        <v>#REF!</v>
      </c>
      <c r="K105" s="866" t="str">
        <f>HLOOKUP(K$1,' "Вуз зож"'!$S$1:$U$75,$B105,0)</f>
        <v>0,0%
=0,0/7,0</v>
      </c>
      <c r="L105" s="866" t="e">
        <f>HLOOKUP(L$1,КАФЕДРА!$DE$1:$EH$75,$B105,0)</f>
        <v>#REF!</v>
      </c>
      <c r="M105" s="866"/>
      <c r="N105" s="866"/>
      <c r="O105" s="229" t="e">
        <f>ROUND(HLOOKUP(O$1,КАФЕДРА!$CY$1:$EH$75,$B105,0)+M105+N105,1)</f>
        <v>#REF!</v>
      </c>
      <c r="P105" s="507" t="e">
        <f t="shared" si="2"/>
        <v>#REF!</v>
      </c>
      <c r="Q105" s="227"/>
      <c r="R105" s="227"/>
      <c r="S105" s="227"/>
      <c r="T105" s="230" t="str">
        <f>HLOOKUP(T$1,КАФЕДРА!$DE$1:$EH$75,$B105,0)</f>
        <v>ФАРМ</v>
      </c>
      <c r="U105" s="161" t="e">
        <f>HLOOKUP(U$1,КАФЕДРА!$CP$1:$EH$75,$B105,0)</f>
        <v>#REF!</v>
      </c>
      <c r="V105" s="161" t="e">
        <f>HLOOKUP(V$1,КАФЕДРА!$CP$1:$EH$75,$B105,0)</f>
        <v>#REF!</v>
      </c>
      <c r="W105" s="161" t="e">
        <f>HLOOKUP(W$1,КАФЕДРА!$CP$1:$EH$75,$B105,0)</f>
        <v>#REF!</v>
      </c>
    </row>
    <row r="106" spans="1:23" ht="30.75" thickBot="1" x14ac:dyDescent="0.25">
      <c r="A106" s="457"/>
      <c r="B106" s="31">
        <v>68</v>
      </c>
      <c r="C106" s="1499" t="str">
        <f>HLOOKUP(C$1,КАФЕДРА!$DE$1:$EH$77,$B106,0)</f>
        <v>Физики и информатики</v>
      </c>
      <c r="D106" s="888" t="e">
        <f>HLOOKUP(D$1,КАФЕДРА!$DE$1:$EH$75,$B106,0)</f>
        <v>#DIV/0!</v>
      </c>
      <c r="E106" s="888" t="e">
        <f>HLOOKUP(E$1,КАФЕДРА!$DE$1:$EH$75,$B106,0)</f>
        <v>#DIV/0!</v>
      </c>
      <c r="F106" s="888" t="e">
        <f>HLOOKUP(F$1,КАФЕДРА!$DE$1:$EH$75,$B106,0)</f>
        <v>#DIV/0!</v>
      </c>
      <c r="G106" s="888" t="e">
        <f>HLOOKUP(G$1,КАФЕДРА!$DE$1:$EH$75,$B106,0)</f>
        <v>#DIV/0!</v>
      </c>
      <c r="H106" s="888" t="e">
        <f>HLOOKUP(H$1,КАФЕДРА!$DE$1:$EH$75,$B106,0)</f>
        <v>#DIV/0!</v>
      </c>
      <c r="I106" s="888" t="e">
        <f>HLOOKUP(I$1,КАФЕДРА!$DE$1:$EH$75,$B106,0)</f>
        <v>#DIV/0!</v>
      </c>
      <c r="J106" s="888" t="e">
        <f>HLOOKUP(J$1,'Реестр ППС'!#REF!,$B106,0)</f>
        <v>#REF!</v>
      </c>
      <c r="K106" s="888" t="str">
        <f>HLOOKUP(K$1,' "Вуз зож"'!$S$1:$U$75,$B106,0)</f>
        <v>0,0%
=0,0/7,0</v>
      </c>
      <c r="L106" s="888" t="e">
        <f>HLOOKUP(L$1,КАФЕДРА!$DE$1:$EH$75,$B106,0)</f>
        <v>#REF!</v>
      </c>
      <c r="M106" s="888"/>
      <c r="N106" s="888"/>
      <c r="O106" s="889" t="e">
        <f>ROUND(HLOOKUP(O$1,КАФЕДРА!$CY$1:$EH$75,$B106,0)+M106+N106,1)</f>
        <v>#REF!</v>
      </c>
      <c r="P106" s="890" t="e">
        <f t="shared" si="2"/>
        <v>#REF!</v>
      </c>
      <c r="Q106" s="891"/>
      <c r="R106" s="891"/>
      <c r="S106" s="891"/>
      <c r="T106" s="747" t="str">
        <f>HLOOKUP(T$1,КАФЕДРА!$DE$1:$EH$75,$B106,0)</f>
        <v>ФАРМ</v>
      </c>
      <c r="U106" s="892" t="e">
        <f>HLOOKUP(U$1,КАФЕДРА!$CP$1:$EH$75,$B106,0)</f>
        <v>#REF!</v>
      </c>
      <c r="V106" s="892" t="e">
        <f>HLOOKUP(V$1,КАФЕДРА!$CP$1:$EH$75,$B106,0)</f>
        <v>#REF!</v>
      </c>
      <c r="W106" s="892" t="e">
        <f>HLOOKUP(W$1,КАФЕДРА!$CP$1:$EH$75,$B106,0)</f>
        <v>#REF!</v>
      </c>
    </row>
    <row r="107" spans="1:23" ht="30" x14ac:dyDescent="0.2">
      <c r="A107" s="457"/>
      <c r="B107" s="31">
        <v>69</v>
      </c>
      <c r="C107" s="1498" t="str">
        <f>HLOOKUP(C$1,КАФЕДРА!$DE$1:$EH$77,$B107,0)</f>
        <v>Клинической психологии</v>
      </c>
      <c r="D107" s="748" t="e">
        <f>HLOOKUP(D$1,КАФЕДРА!$DE$1:$EH$75,$B107,0)</f>
        <v>#DIV/0!</v>
      </c>
      <c r="E107" s="748" t="e">
        <f>HLOOKUP(E$1,КАФЕДРА!$DE$1:$EH$75,$B107,0)</f>
        <v>#DIV/0!</v>
      </c>
      <c r="F107" s="748" t="e">
        <f>HLOOKUP(F$1,КАФЕДРА!$DE$1:$EH$75,$B107,0)</f>
        <v>#DIV/0!</v>
      </c>
      <c r="G107" s="748" t="e">
        <f>HLOOKUP(G$1,КАФЕДРА!$DE$1:$EH$75,$B107,0)</f>
        <v>#DIV/0!</v>
      </c>
      <c r="H107" s="748" t="e">
        <f>HLOOKUP(H$1,КАФЕДРА!$DE$1:$EH$75,$B107,0)</f>
        <v>#DIV/0!</v>
      </c>
      <c r="I107" s="748" t="e">
        <f>HLOOKUP(I$1,КАФЕДРА!$DE$1:$EH$75,$B107,0)</f>
        <v>#DIV/0!</v>
      </c>
      <c r="J107" s="748" t="e">
        <f>HLOOKUP(J$1,'Реестр ППС'!#REF!,$B107,0)</f>
        <v>#REF!</v>
      </c>
      <c r="K107" s="748" t="str">
        <f>HLOOKUP(K$1,' "Вуз зож"'!$S$1:$U$75,$B107,0)</f>
        <v>0,0%
=0,0/7,0</v>
      </c>
      <c r="L107" s="748" t="e">
        <f>HLOOKUP(L$1,КАФЕДРА!$DE$1:$EH$75,$B107,0)</f>
        <v>#REF!</v>
      </c>
      <c r="M107" s="748"/>
      <c r="N107" s="748"/>
      <c r="O107" s="749" t="e">
        <f t="array" ref="O107">ROUND(HLOOKUP(O$1,КАФЕДРА!$CY$1:$EH$75,$B107,0)+M107+N107,1)</f>
        <v>#REF!</v>
      </c>
      <c r="P107" s="886" t="e">
        <f t="shared" si="2"/>
        <v>#REF!</v>
      </c>
      <c r="Q107" s="227"/>
      <c r="R107" s="227"/>
      <c r="S107" s="227"/>
      <c r="T107" s="746" t="str">
        <f>HLOOKUP(T$1,КАФЕДРА!$DE$1:$EH$75,$B107,0)</f>
        <v>КПСИХОЛОГИИ</v>
      </c>
      <c r="U107" s="887" t="e">
        <f>HLOOKUP(U$1,КАФЕДРА!$CP$1:$EH$75,$B107,0)</f>
        <v>#REF!</v>
      </c>
      <c r="V107" s="887" t="e">
        <f>HLOOKUP(V$1,КАФЕДРА!$CP$1:$EH$75,$B107,0)</f>
        <v>#REF!</v>
      </c>
      <c r="W107" s="887" t="e">
        <f>HLOOKUP(W$1,КАФЕДРА!$CP$1:$EH$75,$B107,0)</f>
        <v>#REF!</v>
      </c>
    </row>
    <row r="108" spans="1:23" ht="30" x14ac:dyDescent="0.2">
      <c r="A108" s="457"/>
      <c r="B108" s="31">
        <v>70</v>
      </c>
      <c r="C108" s="230" t="str">
        <f>HLOOKUP(C$1,КАФЕДРА!$DE$1:$EH$77,$B108,0)</f>
        <v>Медицинской реабилитологии с курсом ДПО</v>
      </c>
      <c r="D108" s="554" t="e">
        <f>HLOOKUP(D$1,КАФЕДРА!$DE$1:$EH$75,$B108,0)</f>
        <v>#DIV/0!</v>
      </c>
      <c r="E108" s="554" t="e">
        <f>HLOOKUP(E$1,КАФЕДРА!$DE$1:$EH$75,$B108,0)</f>
        <v>#DIV/0!</v>
      </c>
      <c r="F108" s="554" t="e">
        <f>HLOOKUP(F$1,КАФЕДРА!$DE$1:$EH$75,$B108,0)</f>
        <v>#DIV/0!</v>
      </c>
      <c r="G108" s="554" t="e">
        <f>HLOOKUP(G$1,КАФЕДРА!$DE$1:$EH$75,$B108,0)</f>
        <v>#DIV/0!</v>
      </c>
      <c r="H108" s="554" t="e">
        <f>HLOOKUP(H$1,КАФЕДРА!$DE$1:$EH$75,$B108,0)</f>
        <v>#DIV/0!</v>
      </c>
      <c r="I108" s="554" t="e">
        <f>HLOOKUP(I$1,КАФЕДРА!$DE$1:$EH$75,$B108,0)</f>
        <v>#DIV/0!</v>
      </c>
      <c r="J108" s="639" t="e">
        <f>HLOOKUP(J$1,'Реестр ППС'!#REF!,$B108,0)</f>
        <v>#REF!</v>
      </c>
      <c r="K108" s="639" t="str">
        <f>HLOOKUP(K$1,' "Вуз зож"'!$S$1:$U$75,$B108,0)</f>
        <v>0,0%
=0,0/7,0</v>
      </c>
      <c r="L108" s="554" t="e">
        <f>HLOOKUP(L$1,КАФЕДРА!$DE$1:$EH$75,$B108,0)</f>
        <v>#REF!</v>
      </c>
      <c r="M108" s="639"/>
      <c r="N108" s="554"/>
      <c r="O108" s="229" t="e">
        <f>ROUND(HLOOKUP(O$1,КАФЕДРА!$CY$1:$EH$75,$B108,0)+M108+N108,1)</f>
        <v>#REF!</v>
      </c>
      <c r="P108" s="507" t="e">
        <f t="shared" si="2"/>
        <v>#REF!</v>
      </c>
      <c r="Q108" s="227"/>
      <c r="R108" s="227"/>
      <c r="S108" s="227"/>
      <c r="T108" s="230" t="str">
        <f>HLOOKUP(T$1,КАФЕДРА!$DE$1:$EH$75,$B108,0)</f>
        <v>КПСИХОЛОГИИ</v>
      </c>
      <c r="U108" s="161" t="e">
        <f>HLOOKUP(U$1,КАФЕДРА!$CP$1:$EH$75,$B108,0)</f>
        <v>#REF!</v>
      </c>
      <c r="V108" s="161" t="e">
        <f>HLOOKUP(V$1,КАФЕДРА!$CP$1:$EH$75,$B108,0)</f>
        <v>#REF!</v>
      </c>
      <c r="W108" s="161" t="e">
        <f>HLOOKUP(W$1,КАФЕДРА!$CP$1:$EH$75,$B108,0)</f>
        <v>#REF!</v>
      </c>
    </row>
    <row r="109" spans="1:23" ht="45" x14ac:dyDescent="0.2">
      <c r="A109" s="457"/>
      <c r="B109" s="31">
        <v>71</v>
      </c>
      <c r="C109" s="230" t="str">
        <f>HLOOKUP(C$1,КАФЕДРА!$DE$1:$EH$77,$B109,0)</f>
        <v>Психиатрии, медицинской психологии и наркологии с курсом ДПО</v>
      </c>
      <c r="D109" s="866" t="e">
        <f>HLOOKUP(D$1,КАФЕДРА!$DE$1:$EH$75,$B109,0)</f>
        <v>#DIV/0!</v>
      </c>
      <c r="E109" s="866" t="e">
        <f>HLOOKUP(E$1,КАФЕДРА!$DE$1:$EH$75,$B109,0)</f>
        <v>#DIV/0!</v>
      </c>
      <c r="F109" s="866" t="e">
        <f>HLOOKUP(F$1,КАФЕДРА!$DE$1:$EH$75,$B109,0)</f>
        <v>#DIV/0!</v>
      </c>
      <c r="G109" s="866" t="e">
        <f>HLOOKUP(G$1,КАФЕДРА!$DE$1:$EH$75,$B109,0)</f>
        <v>#DIV/0!</v>
      </c>
      <c r="H109" s="866" t="e">
        <f>HLOOKUP(H$1,КАФЕДРА!$DE$1:$EH$75,$B109,0)</f>
        <v>#DIV/0!</v>
      </c>
      <c r="I109" s="866" t="e">
        <f>HLOOKUP(I$1,КАФЕДРА!$DE$1:$EH$75,$B109,0)</f>
        <v>#DIV/0!</v>
      </c>
      <c r="J109" s="866" t="e">
        <f>HLOOKUP(J$1,'Реестр ППС'!#REF!,$B109,0)</f>
        <v>#REF!</v>
      </c>
      <c r="K109" s="866" t="str">
        <f>HLOOKUP(K$1,' "Вуз зож"'!$S$1:$U$75,$B109,0)</f>
        <v>0,0%
=0,0/7,0</v>
      </c>
      <c r="L109" s="866" t="e">
        <f>HLOOKUP(L$1,КАФЕДРА!$DE$1:$EH$75,$B109,0)</f>
        <v>#REF!</v>
      </c>
      <c r="M109" s="866"/>
      <c r="N109" s="866"/>
      <c r="O109" s="229" t="e">
        <f>ROUND(HLOOKUP(O$1,КАФЕДРА!$CY$1:$EH$75,$B109,0)+M109+N109,1)</f>
        <v>#REF!</v>
      </c>
      <c r="P109" s="507" t="e">
        <f t="shared" si="2"/>
        <v>#REF!</v>
      </c>
      <c r="Q109" s="899"/>
      <c r="R109" s="899"/>
      <c r="S109" s="899"/>
      <c r="T109" s="230" t="str">
        <f>HLOOKUP(T$1,КАФЕДРА!$DE$1:$EH$75,$B109,0)</f>
        <v>КПСИХОЛОГИИ</v>
      </c>
      <c r="U109" s="161" t="e">
        <f>HLOOKUP(U$1,КАФЕДРА!$CP$1:$EH$75,$B109,0)</f>
        <v>#REF!</v>
      </c>
      <c r="V109" s="161" t="e">
        <f>HLOOKUP(V$1,КАФЕДРА!$CP$1:$EH$75,$B109,0)</f>
        <v>#REF!</v>
      </c>
      <c r="W109" s="161" t="e">
        <f>HLOOKUP(W$1,КАФЕДРА!$CP$1:$EH$75,$B109,0)</f>
        <v>#REF!</v>
      </c>
    </row>
    <row r="110" spans="1:23" ht="30" x14ac:dyDescent="0.2">
      <c r="A110" s="457" t="s">
        <v>509</v>
      </c>
      <c r="B110" s="31">
        <v>72</v>
      </c>
      <c r="C110" s="230" t="str">
        <f>HLOOKUP(C$1,КАФЕДРА!$DE$1:$EH$77,$B110,0)</f>
        <v>Философии</v>
      </c>
      <c r="D110" s="748" t="e">
        <f>HLOOKUP(D$1,КАФЕДРА!$DE$1:$EH$75,$B110,0)</f>
        <v>#DIV/0!</v>
      </c>
      <c r="E110" s="748" t="e">
        <f>HLOOKUP(E$1,КАФЕДРА!$DE$1:$EH$75,$B110,0)</f>
        <v>#DIV/0!</v>
      </c>
      <c r="F110" s="748" t="e">
        <f>HLOOKUP(F$1,КАФЕДРА!$DE$1:$EH$75,$B110,0)</f>
        <v>#DIV/0!</v>
      </c>
      <c r="G110" s="748" t="e">
        <f>HLOOKUP(G$1,КАФЕДРА!$DE$1:$EH$75,$B110,0)</f>
        <v>#DIV/0!</v>
      </c>
      <c r="H110" s="748" t="e">
        <f>HLOOKUP(H$1,КАФЕДРА!$DE$1:$EH$75,$B110,0)</f>
        <v>#DIV/0!</v>
      </c>
      <c r="I110" s="748" t="e">
        <f>HLOOKUP(I$1,КАФЕДРА!$DE$1:$EH$75,$B110,0)</f>
        <v>#DIV/0!</v>
      </c>
      <c r="J110" s="748" t="e">
        <f>HLOOKUP(J$1,'Реестр ППС'!#REF!,$B110,0)</f>
        <v>#REF!</v>
      </c>
      <c r="K110" s="748" t="str">
        <f>HLOOKUP(K$1,' "Вуз зож"'!$S$1:$U$75,$B110,0)</f>
        <v>0,0%
=0,0/7,0</v>
      </c>
      <c r="L110" s="748" t="e">
        <f>HLOOKUP(L$1,КАФЕДРА!$DE$1:$EH$75,$B110,0)</f>
        <v>#REF!</v>
      </c>
      <c r="M110" s="748"/>
      <c r="N110" s="748"/>
      <c r="O110" s="749" t="e">
        <f>ROUND(HLOOKUP(O$1,КАФЕДРА!$CY$1:$EH$75,$B110,0)+M110+N110,1)</f>
        <v>#REF!</v>
      </c>
      <c r="P110" s="886" t="e">
        <f t="shared" si="2"/>
        <v>#REF!</v>
      </c>
      <c r="Q110" s="227"/>
      <c r="R110" s="227"/>
      <c r="S110" s="227"/>
      <c r="T110" s="746" t="str">
        <f>HLOOKUP(T$1,КАФЕДРА!$DE$1:$EH$75,$B110,0)</f>
        <v>КПСИХОЛОГИИ</v>
      </c>
      <c r="U110" s="887" t="e">
        <f>HLOOKUP(U$1,КАФЕДРА!$CP$1:$EH$75,$B110,0)</f>
        <v>#REF!</v>
      </c>
      <c r="V110" s="887" t="e">
        <f>HLOOKUP(V$1,КАФЕДРА!$CP$1:$EH$75,$B110,0)</f>
        <v>#REF!</v>
      </c>
      <c r="W110" s="887" t="e">
        <f>HLOOKUP(W$1,КАФЕДРА!$CP$1:$EH$75,$B110,0)</f>
        <v>#REF!</v>
      </c>
    </row>
    <row r="111" spans="1:23" ht="30.75" thickBot="1" x14ac:dyDescent="0.25">
      <c r="A111" s="457"/>
      <c r="B111" s="31">
        <v>73</v>
      </c>
      <c r="C111" s="1499" t="str">
        <f>HLOOKUP(C$1,КАФЕДРА!$DE$1:$EH$77,$B111,0)</f>
        <v>Истории</v>
      </c>
      <c r="D111" s="750" t="e">
        <f>HLOOKUP(D$1,КАФЕДРА!$DE$1:$EH$75,$B111,0)</f>
        <v>#DIV/0!</v>
      </c>
      <c r="E111" s="750" t="e">
        <f>HLOOKUP(E$1,КАФЕДРА!$DE$1:$EH$75,$B111,0)</f>
        <v>#DIV/0!</v>
      </c>
      <c r="F111" s="750" t="e">
        <f>HLOOKUP(F$1,КАФЕДРА!$DE$1:$EH$75,$B111,0)</f>
        <v>#DIV/0!</v>
      </c>
      <c r="G111" s="750" t="e">
        <f>HLOOKUP(G$1,КАФЕДРА!$DE$1:$EH$75,$B111,0)</f>
        <v>#DIV/0!</v>
      </c>
      <c r="H111" s="750" t="e">
        <f>HLOOKUP(H$1,КАФЕДРА!$DE$1:$EH$75,$B111,0)</f>
        <v>#DIV/0!</v>
      </c>
      <c r="I111" s="750" t="e">
        <f>HLOOKUP(I$1,КАФЕДРА!$DE$1:$EH$75,$B111,0)</f>
        <v>#DIV/0!</v>
      </c>
      <c r="J111" s="888" t="e">
        <f>HLOOKUP(J$1,'Реестр ППС'!#REF!,$B111,0)</f>
        <v>#REF!</v>
      </c>
      <c r="K111" s="750" t="str">
        <f>HLOOKUP(K$1,' "Вуз зож"'!$S$1:$U$75,$B111,0)</f>
        <v>0,0%
=0,0/7,0</v>
      </c>
      <c r="L111" s="750" t="e">
        <f>HLOOKUP(L$1,КАФЕДРА!$DE$1:$EH$75,$B111,0)</f>
        <v>#REF!</v>
      </c>
      <c r="M111" s="750"/>
      <c r="N111" s="750"/>
      <c r="O111" s="751" t="e">
        <f>ROUND(HLOOKUP(O$1,КАФЕДРА!$CY$1:$EH$75,$B111,0)+M111+N111,1)</f>
        <v>#REF!</v>
      </c>
      <c r="P111" s="890" t="e">
        <f t="shared" si="2"/>
        <v>#REF!</v>
      </c>
      <c r="Q111" s="891"/>
      <c r="R111" s="891"/>
      <c r="S111" s="891"/>
      <c r="T111" s="747" t="str">
        <f>HLOOKUP(T$1,КАФЕДРА!$DE$1:$EH$75,$B111,0)</f>
        <v>КПСИХОЛОГИИ</v>
      </c>
      <c r="U111" s="892" t="e">
        <f>HLOOKUP(U$1,КАФЕДРА!$CP$1:$EH$75,$B111,0)</f>
        <v>#REF!</v>
      </c>
      <c r="V111" s="892" t="e">
        <f>HLOOKUP(V$1,КАФЕДРА!$CP$1:$EH$75,$B111,0)</f>
        <v>#REF!</v>
      </c>
      <c r="W111" s="892" t="e">
        <f>HLOOKUP(W$1,КАФЕДРА!$CP$1:$EH$75,$B111,0)</f>
        <v>#REF!</v>
      </c>
    </row>
    <row r="112" spans="1:23" ht="30" x14ac:dyDescent="0.2">
      <c r="A112" s="457"/>
      <c r="B112" s="31">
        <v>74</v>
      </c>
      <c r="C112" s="1498" t="str">
        <f>HLOOKUP(C$1,КАФЕДРА!$DE$1:$EH$77,$B112,0)</f>
        <v>Иностранных языков с курсом латинского языка</v>
      </c>
      <c r="D112" s="748" t="e">
        <f>HLOOKUP(D$1,КАФЕДРА!$DE$1:$EH$75,$B112,0)</f>
        <v>#DIV/0!</v>
      </c>
      <c r="E112" s="748" t="e">
        <f>HLOOKUP(E$1,КАФЕДРА!$DE$1:$EH$75,$B112,0)</f>
        <v>#DIV/0!</v>
      </c>
      <c r="F112" s="748" t="e">
        <f>HLOOKUP(F$1,КАФЕДРА!$DE$1:$EH$75,$B112,0)</f>
        <v>#DIV/0!</v>
      </c>
      <c r="G112" s="748" t="e">
        <f>HLOOKUP(G$1,КАФЕДРА!$DE$1:$EH$75,$B112,0)</f>
        <v>#DIV/0!</v>
      </c>
      <c r="H112" s="748" t="e">
        <f>HLOOKUP(H$1,КАФЕДРА!$DE$1:$EH$75,$B112,0)</f>
        <v>#DIV/0!</v>
      </c>
      <c r="I112" s="748" t="e">
        <f>HLOOKUP(I$1,КАФЕДРА!$DE$1:$EH$75,$B112,0)</f>
        <v>#DIV/0!</v>
      </c>
      <c r="J112" s="748" t="e">
        <f>HLOOKUP(J$1,'Реестр ППС'!#REF!,$B112,0)</f>
        <v>#REF!</v>
      </c>
      <c r="K112" s="748" t="str">
        <f>HLOOKUP(K$1,' "Вуз зож"'!$S$1:$U$75,$B112,0)</f>
        <v>0,0%
=0,0/7,0</v>
      </c>
      <c r="L112" s="748" t="e">
        <f>HLOOKUP(L$1,КАФЕДРА!$DE$1:$EH$75,$B112,0)</f>
        <v>#REF!</v>
      </c>
      <c r="M112" s="748"/>
      <c r="N112" s="748"/>
      <c r="O112" s="749" t="e">
        <f>ROUND(HLOOKUP(O$1,КАФЕДРА!$CY$1:$EH$75,$B112,0)+M112+N112,1)</f>
        <v>#REF!</v>
      </c>
      <c r="P112" s="886" t="e">
        <f t="shared" ref="P112:P113" si="3">IF(O112&lt;50,0,IF(O112&gt;100,100,O112))</f>
        <v>#REF!</v>
      </c>
      <c r="Q112" s="227"/>
      <c r="R112" s="227"/>
      <c r="S112" s="227"/>
      <c r="T112" s="746" t="str">
        <f>HLOOKUP(T$1,КАФЕДРА!$DE$1:$EH$75,$B112,0)</f>
        <v>ФИС</v>
      </c>
      <c r="U112" s="887" t="e">
        <f>HLOOKUP(U$1,КАФЕДРА!$CP$1:$EH$75,$B112,0)</f>
        <v>#REF!</v>
      </c>
      <c r="V112" s="887" t="e">
        <f>HLOOKUP(V$1,КАФЕДРА!$CP$1:$EH$75,$B112,0)</f>
        <v>#REF!</v>
      </c>
      <c r="W112" s="887" t="e">
        <f>HLOOKUP(W$1,КАФЕДРА!$CP$1:$EH$75,$B112,0)</f>
        <v>#REF!</v>
      </c>
    </row>
    <row r="113" spans="1:24" ht="30.75" thickBot="1" x14ac:dyDescent="0.25">
      <c r="A113" s="457"/>
      <c r="B113" s="31">
        <v>75</v>
      </c>
      <c r="C113" s="1499" t="str">
        <f>HLOOKUP(C$1,КАФЕДРА!$DE$1:$EH$77,$B113,0)</f>
        <v>Русского языка как иностранного</v>
      </c>
      <c r="D113" s="866" t="e">
        <f>HLOOKUP(D$1,КАФЕДРА!$DE$1:$EH$75,$B113,0)</f>
        <v>#DIV/0!</v>
      </c>
      <c r="E113" s="866" t="e">
        <f>HLOOKUP(E$1,КАФЕДРА!$DE$1:$EH$75,$B113,0)</f>
        <v>#DIV/0!</v>
      </c>
      <c r="F113" s="866" t="e">
        <f>HLOOKUP(F$1,КАФЕДРА!$DE$1:$EH$75,$B113,0)</f>
        <v>#DIV/0!</v>
      </c>
      <c r="G113" s="866" t="e">
        <f>HLOOKUP(G$1,КАФЕДРА!$DE$1:$EH$75,$B113,0)</f>
        <v>#DIV/0!</v>
      </c>
      <c r="H113" s="866" t="e">
        <f>HLOOKUP(H$1,КАФЕДРА!$DE$1:$EH$75,$B113,0)</f>
        <v>#DIV/0!</v>
      </c>
      <c r="I113" s="866" t="e">
        <f>HLOOKUP(I$1,КАФЕДРА!$DE$1:$EH$75,$B113,0)</f>
        <v>#DIV/0!</v>
      </c>
      <c r="J113" s="748" t="e">
        <f>HLOOKUP(J$1,'Реестр ППС'!#REF!,$B113,0)</f>
        <v>#REF!</v>
      </c>
      <c r="K113" s="866" t="str">
        <f>HLOOKUP(K$1,' "Вуз зож"'!$S$1:$U$75,$B113,0)</f>
        <v>0,0%
=0,0/7,0</v>
      </c>
      <c r="L113" s="866" t="e">
        <f>HLOOKUP(L$1,КАФЕДРА!$DE$1:$EH$75,$B113,0)</f>
        <v>#REF!</v>
      </c>
      <c r="M113" s="866"/>
      <c r="N113" s="866"/>
      <c r="O113" s="229" t="e">
        <f>ROUND(HLOOKUP(O$1,КАФЕДРА!$CY$1:$EH$75,$B113,0)+M113+N113,1)</f>
        <v>#REF!</v>
      </c>
      <c r="P113" s="507" t="e">
        <f t="shared" si="3"/>
        <v>#REF!</v>
      </c>
      <c r="Q113" s="227"/>
      <c r="R113" s="227"/>
      <c r="S113" s="227"/>
      <c r="T113" s="230" t="str">
        <f>HLOOKUP(T$1,КАФЕДРА!$DE$1:$EH$75,$B113,0)</f>
        <v>ФИС</v>
      </c>
      <c r="U113" s="161" t="e">
        <f>HLOOKUP(U$1,КАФЕДРА!$CP$1:$EH$75,$B113,0)</f>
        <v>#REF!</v>
      </c>
      <c r="V113" s="161" t="e">
        <f>HLOOKUP(V$1,КАФЕДРА!$CP$1:$EH$75,$B113,0)</f>
        <v>#REF!</v>
      </c>
      <c r="W113" s="161" t="e">
        <f>HLOOKUP(W$1,КАФЕДРА!$CP$1:$EH$75,$B113,0)</f>
        <v>#REF!</v>
      </c>
    </row>
    <row r="114" spans="1:24" ht="36" customHeight="1" x14ac:dyDescent="0.2">
      <c r="A114" s="457"/>
      <c r="B114" s="31">
        <v>76</v>
      </c>
      <c r="C114" s="1498" t="str">
        <f>HLOOKUP(C$1,КАФЕДРА!$DE$1:$EH$77,$B114,0)</f>
        <v>Травматологии, ортопедии и вертебрологии</v>
      </c>
      <c r="D114" s="913" t="e">
        <f>HLOOKUP(D$1,КАФЕДРА!$DE$1:$EH$77,$B114,0)</f>
        <v>#DIV/0!</v>
      </c>
      <c r="E114" s="913" t="e">
        <f>HLOOKUP(E$1,КАФЕДРА!$DE$1:$EH$77,$B114,0)</f>
        <v>#DIV/0!</v>
      </c>
      <c r="F114" s="913" t="str">
        <f>HLOOKUP(F$1,КАФЕДРА!$DE$1:$EH$77,$B114,0)</f>
        <v>0,0%
=0,0/21,0</v>
      </c>
      <c r="G114" s="913" t="e">
        <f>HLOOKUP(G$1,КАФЕДРА!$DE$1:$EH$77,$B114,0)</f>
        <v>#DIV/0!</v>
      </c>
      <c r="H114" s="913" t="e">
        <f>HLOOKUP(H$1,КАФЕДРА!$DE$1:$EH$77,$B114,0)</f>
        <v>#DIV/0!</v>
      </c>
      <c r="I114" s="913" t="e">
        <f>HLOOKUP(I$1,КАФЕДРА!$DE$1:$EH$77,$B114,0)</f>
        <v>#DIV/0!</v>
      </c>
      <c r="J114" s="913" t="e">
        <f>HLOOKUP(J$1,'Реестр ППС'!#REF!,$B114,0)</f>
        <v>#REF!</v>
      </c>
      <c r="K114" s="913" t="str">
        <f>HLOOKUP(K$1,' "Вуз зож"'!$S$1:$U$77,$B114,0)</f>
        <v>0,0%
=0,0/7,0</v>
      </c>
      <c r="L114" s="913" t="e">
        <f>HLOOKUP(L$1,КАФЕДРА!$DE$1:$EH$77,$B114,0)</f>
        <v>#REF!</v>
      </c>
      <c r="M114" s="913"/>
      <c r="N114" s="913"/>
      <c r="O114" s="914" t="e">
        <f>ROUND(HLOOKUP(O$1,КАФЕДРА!$CY$1:$EH$77,$B114,0)+M114+N114,1)</f>
        <v>#REF!</v>
      </c>
      <c r="P114" s="915" t="e">
        <f t="shared" ref="P114:P115" si="4">IF(O114&lt;50,0,IF(O114&gt;100,100,O114))</f>
        <v>#REF!</v>
      </c>
      <c r="Q114" s="916"/>
      <c r="R114" s="916"/>
      <c r="S114" s="916"/>
      <c r="T114" s="917" t="s">
        <v>29</v>
      </c>
      <c r="U114" s="864"/>
      <c r="V114" s="864"/>
      <c r="W114" s="124"/>
      <c r="X114" s="124"/>
    </row>
    <row r="115" spans="1:24" ht="52.5" customHeight="1" x14ac:dyDescent="0.2">
      <c r="A115" s="457"/>
      <c r="B115" s="31">
        <v>77</v>
      </c>
      <c r="C115" s="230" t="str">
        <f>HLOOKUP(C$1,КАФЕДРА!$DE$1:$EH$77,$B115,0)</f>
        <v>Кардиологии и сердечно-сосудистой хирургии с курсом ДПО</v>
      </c>
      <c r="D115" s="639" t="e">
        <f>HLOOKUP(D$1,КАФЕДРА!$DE$1:$EH$77,$B115,0)</f>
        <v>#DIV/0!</v>
      </c>
      <c r="E115" s="639" t="e">
        <f>HLOOKUP(E$1,КАФЕДРА!$DE$1:$EH$77,$B115,0)</f>
        <v>#DIV/0!</v>
      </c>
      <c r="F115" s="639" t="e">
        <f>HLOOKUP(F$1,КАФЕДРА!$DE$1:$EH$77,$B115,0)</f>
        <v>#DIV/0!</v>
      </c>
      <c r="G115" s="639" t="e">
        <f>HLOOKUP(G$1,КАФЕДРА!$DE$1:$EH$77,$B115,0)</f>
        <v>#DIV/0!</v>
      </c>
      <c r="H115" s="639" t="e">
        <f>HLOOKUP(H$1,КАФЕДРА!$DE$1:$EH$77,$B115,0)</f>
        <v>#DIV/0!</v>
      </c>
      <c r="I115" s="639" t="e">
        <f>HLOOKUP(I$1,КАФЕДРА!$DE$1:$EH$77,$B115,0)</f>
        <v>#DIV/0!</v>
      </c>
      <c r="J115" s="748" t="e">
        <f>HLOOKUP(J$1,'Реестр ППС'!#REF!,$B115,0)</f>
        <v>#REF!</v>
      </c>
      <c r="K115" s="639" t="str">
        <f>HLOOKUP(K$1,' "Вуз зож"'!$S$1:$U$77,$B115,0)</f>
        <v>0,0%
=0,0/7,0</v>
      </c>
      <c r="L115" s="639" t="e">
        <f>HLOOKUP(L$1,КАФЕДРА!$DE$1:$EH$77,$B115,0)</f>
        <v>#REF!</v>
      </c>
      <c r="M115" s="639"/>
      <c r="N115" s="639"/>
      <c r="O115" s="229" t="e">
        <f>ROUND(HLOOKUP(O$1,КАФЕДРА!$CY$1:$EH$77,$B115,0)+M115+N115,1)</f>
        <v>#REF!</v>
      </c>
      <c r="P115" s="507" t="e">
        <f t="shared" si="4"/>
        <v>#REF!</v>
      </c>
      <c r="Q115" s="227"/>
      <c r="R115" s="227"/>
      <c r="S115" s="227"/>
      <c r="T115" s="863" t="s">
        <v>29</v>
      </c>
      <c r="U115" s="864"/>
      <c r="V115" s="864"/>
      <c r="W115" s="124"/>
      <c r="X115" s="124"/>
    </row>
    <row r="116" spans="1:24" x14ac:dyDescent="0.2">
      <c r="A116" s="457"/>
      <c r="C116" s="457"/>
      <c r="D116" s="457"/>
      <c r="E116" s="457"/>
      <c r="F116" s="457"/>
      <c r="G116" s="457"/>
      <c r="H116" s="457"/>
      <c r="I116" s="457"/>
      <c r="J116" s="457"/>
      <c r="K116" s="457"/>
      <c r="L116" s="457"/>
      <c r="M116" s="457"/>
      <c r="N116" s="457"/>
      <c r="O116" s="457"/>
      <c r="P116" s="458"/>
      <c r="Q116" s="457"/>
      <c r="R116" s="457"/>
      <c r="S116" s="457"/>
    </row>
    <row r="117" spans="1:24" ht="30" x14ac:dyDescent="0.2">
      <c r="A117" s="457"/>
      <c r="B117" s="31">
        <v>19</v>
      </c>
      <c r="C117" s="230" t="str">
        <f>HLOOKUP(C$1,КАФЕДРА!$DE$1:$EH$75,$B117,0)</f>
        <v>сумма по кафедрам (проверочная)</v>
      </c>
      <c r="D117" s="231" t="e">
        <f>HLOOKUP(D$1,КАФЕДРА!$DE$1:$EH$77,$B117,0)</f>
        <v>#DIV/0!</v>
      </c>
      <c r="E117" s="639" t="e">
        <f>HLOOKUP(E$1,КАФЕДРА!$DE$1:$EH$77,$B117,0)</f>
        <v>#DIV/0!</v>
      </c>
      <c r="F117" s="639" t="e">
        <f>HLOOKUP(F$1,КАФЕДРА!$DE$1:$EH$77,$B117,0)</f>
        <v>#DIV/0!</v>
      </c>
      <c r="G117" s="639" t="e">
        <f>HLOOKUP(G$1,КАФЕДРА!$DE$1:$EH$77,$B117,0)</f>
        <v>#DIV/0!</v>
      </c>
      <c r="H117" s="639" t="e">
        <f>HLOOKUP(H$1,КАФЕДРА!$DE$1:$EH$77,$B117,0)</f>
        <v>#DIV/0!</v>
      </c>
      <c r="I117" s="639" t="e">
        <f>HLOOKUP(I$1,КАФЕДРА!$DE$1:$EH$77,$B117,0)</f>
        <v>#DIV/0!</v>
      </c>
      <c r="J117" s="639" t="e">
        <f>'Реестр ППС'!#REF!</f>
        <v>#REF!</v>
      </c>
      <c r="K117" s="639">
        <f>' "Вуз зож"'!U19</f>
        <v>0</v>
      </c>
      <c r="L117" s="231" t="e">
        <f>HLOOKUP(L$1,КАФЕДРА!$DE$1:$EH$75,$B117,0)</f>
        <v>#REF!</v>
      </c>
      <c r="M117" s="231"/>
      <c r="N117" s="231"/>
      <c r="O117" s="231" t="e">
        <f>ROUND(HLOOKUP(O$1,КАФЕДРА!$CY$1:$EH$75,$B117,0)+M117+N117,1)</f>
        <v>#REF!</v>
      </c>
      <c r="P117" s="507" t="e">
        <f>O117</f>
        <v>#REF!</v>
      </c>
      <c r="Q117" s="227"/>
      <c r="R117" s="227"/>
      <c r="S117" s="227"/>
      <c r="T117" s="230">
        <f>HLOOKUP(T$1,КАФЕДРА!$DE$1:$EH$75,$B117,0)</f>
        <v>0</v>
      </c>
      <c r="U117" s="161" t="e">
        <f>HLOOKUP(U$1,КАФЕДРА!$CP$1:$EH$75,$B117,0)</f>
        <v>#REF!</v>
      </c>
      <c r="V117" s="161" t="e">
        <f>HLOOKUP(V$1,КАФЕДРА!$CP$1:$EH$75,$B117,0)</f>
        <v>#REF!</v>
      </c>
      <c r="W117" s="161" t="e">
        <f>HLOOKUP(W$1,КАФЕДРА!$CP$1:$EH$75,$B117,0)</f>
        <v>#REF!</v>
      </c>
    </row>
    <row r="121" spans="1:24" x14ac:dyDescent="0.2">
      <c r="L121" s="136"/>
    </row>
    <row r="123" spans="1:24" ht="14.25" customHeight="1" x14ac:dyDescent="0.2">
      <c r="C123" s="1939"/>
      <c r="D123" s="1939"/>
      <c r="E123" s="1939"/>
      <c r="F123" s="1939"/>
      <c r="G123" s="1939"/>
      <c r="H123" s="1939"/>
      <c r="I123" s="1939"/>
      <c r="J123" s="1939"/>
      <c r="K123" s="1939"/>
      <c r="L123" s="1939"/>
      <c r="M123" s="1939"/>
      <c r="N123" s="1939"/>
      <c r="O123" s="1939"/>
      <c r="P123" s="1939"/>
    </row>
    <row r="124" spans="1:24" ht="14.25" customHeight="1" x14ac:dyDescent="0.2">
      <c r="C124" s="1939"/>
      <c r="D124" s="1939"/>
      <c r="E124" s="1939"/>
      <c r="F124" s="1939"/>
      <c r="G124" s="1939"/>
      <c r="H124" s="1939"/>
      <c r="I124" s="1939"/>
      <c r="J124" s="1939"/>
      <c r="K124" s="1939"/>
      <c r="L124" s="1939"/>
      <c r="M124" s="1939"/>
      <c r="N124" s="1939"/>
      <c r="O124" s="1939"/>
      <c r="P124" s="1939"/>
    </row>
    <row r="125" spans="1:24" ht="14.25" customHeight="1" x14ac:dyDescent="0.2">
      <c r="C125" s="1939"/>
      <c r="D125" s="1939"/>
      <c r="E125" s="1939"/>
      <c r="F125" s="1939"/>
      <c r="G125" s="1939"/>
      <c r="H125" s="1939"/>
      <c r="I125" s="1939"/>
      <c r="J125" s="1939"/>
      <c r="K125" s="1939"/>
      <c r="L125" s="1939"/>
      <c r="M125" s="1939"/>
      <c r="N125" s="1939"/>
      <c r="O125" s="1939"/>
      <c r="P125" s="1939"/>
    </row>
    <row r="126" spans="1:24" ht="14.25" customHeight="1" x14ac:dyDescent="0.2">
      <c r="C126" s="1939"/>
      <c r="D126" s="1939"/>
      <c r="E126" s="1939"/>
      <c r="F126" s="1939"/>
      <c r="G126" s="1939"/>
      <c r="H126" s="1939"/>
      <c r="I126" s="1939"/>
      <c r="J126" s="1939"/>
      <c r="K126" s="1939"/>
      <c r="L126" s="1939"/>
      <c r="M126" s="1939"/>
      <c r="N126" s="1939"/>
      <c r="O126" s="1939"/>
      <c r="P126" s="1939"/>
    </row>
    <row r="127" spans="1:24" ht="15.75" customHeight="1" x14ac:dyDescent="0.2">
      <c r="C127" s="1939"/>
      <c r="D127" s="1939"/>
      <c r="E127" s="1939"/>
      <c r="F127" s="1939"/>
      <c r="G127" s="1939"/>
      <c r="H127" s="1939"/>
      <c r="I127" s="1939"/>
      <c r="J127" s="1939"/>
      <c r="K127" s="1939"/>
      <c r="L127" s="1939"/>
      <c r="M127" s="1939"/>
      <c r="N127" s="1939"/>
      <c r="O127" s="1939"/>
      <c r="P127" s="1939"/>
    </row>
  </sheetData>
  <autoFilter ref="T6:W113"/>
  <mergeCells count="4">
    <mergeCell ref="C4:C6"/>
    <mergeCell ref="C54:C56"/>
    <mergeCell ref="D4:K4"/>
    <mergeCell ref="D54:K54"/>
  </mergeCells>
  <conditionalFormatting sqref="N8:N13 L18:N18 J27:K27 C15:E15 K15:L15 D18:I25 G15:I15 D27:I34 D58:L115 D117:L117 C8:L14">
    <cfRule type="cellIs" dxfId="38" priority="91" operator="equal">
      <formula>0</formula>
    </cfRule>
  </conditionalFormatting>
  <conditionalFormatting sqref="L19:N23 J28:K34">
    <cfRule type="cellIs" dxfId="37" priority="89" operator="equal">
      <formula>0</formula>
    </cfRule>
  </conditionalFormatting>
  <conditionalFormatting sqref="U27:W32">
    <cfRule type="colorScale" priority="83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85">
      <colorScale>
        <cfvo type="min"/>
        <cfvo type="max"/>
        <color rgb="FFFCFCFF"/>
        <color rgb="FF63BE7B"/>
      </colorScale>
    </cfRule>
  </conditionalFormatting>
  <conditionalFormatting sqref="L27:N27 L28:L32 M28:N34">
    <cfRule type="cellIs" dxfId="36" priority="80" operator="equal">
      <formula>0</formula>
    </cfRule>
  </conditionalFormatting>
  <conditionalFormatting sqref="N58:N113">
    <cfRule type="cellIs" dxfId="35" priority="79" operator="equal">
      <formula>0</formula>
    </cfRule>
  </conditionalFormatting>
  <conditionalFormatting sqref="O18:O23">
    <cfRule type="cellIs" dxfId="34" priority="77" operator="equal">
      <formula>0</formula>
    </cfRule>
  </conditionalFormatting>
  <conditionalFormatting sqref="O27:O34">
    <cfRule type="cellIs" dxfId="33" priority="76" operator="equal">
      <formula>0</formula>
    </cfRule>
  </conditionalFormatting>
  <conditionalFormatting sqref="O58:O115">
    <cfRule type="cellIs" dxfId="32" priority="75" operator="equal">
      <formula>0</formula>
    </cfRule>
  </conditionalFormatting>
  <conditionalFormatting sqref="M8:M13">
    <cfRule type="cellIs" dxfId="31" priority="73" operator="equal">
      <formula>0</formula>
    </cfRule>
  </conditionalFormatting>
  <conditionalFormatting sqref="U117:W117">
    <cfRule type="colorScale" priority="71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72">
      <colorScale>
        <cfvo type="min"/>
        <cfvo type="max"/>
        <color rgb="FFFCFCFF"/>
        <color rgb="FF63BE7B"/>
      </colorScale>
    </cfRule>
  </conditionalFormatting>
  <conditionalFormatting sqref="N117">
    <cfRule type="cellIs" dxfId="30" priority="70" operator="equal">
      <formula>0</formula>
    </cfRule>
  </conditionalFormatting>
  <conditionalFormatting sqref="O117">
    <cfRule type="cellIs" dxfId="29" priority="69" operator="equal">
      <formula>0</formula>
    </cfRule>
  </conditionalFormatting>
  <conditionalFormatting sqref="U33:W34">
    <cfRule type="colorScale" priority="57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58">
      <colorScale>
        <cfvo type="min"/>
        <cfvo type="max"/>
        <color rgb="FFFCFCFF"/>
        <color rgb="FF63BE7B"/>
      </colorScale>
    </cfRule>
  </conditionalFormatting>
  <conditionalFormatting sqref="L33:L34">
    <cfRule type="cellIs" dxfId="28" priority="56" operator="equal">
      <formula>0</formula>
    </cfRule>
  </conditionalFormatting>
  <conditionalFormatting sqref="L25:N25">
    <cfRule type="cellIs" dxfId="27" priority="46" operator="equal">
      <formula>0</formula>
    </cfRule>
  </conditionalFormatting>
  <conditionalFormatting sqref="O25">
    <cfRule type="cellIs" dxfId="26" priority="45" operator="equal">
      <formula>0</formula>
    </cfRule>
  </conditionalFormatting>
  <conditionalFormatting sqref="M58:M113">
    <cfRule type="cellIs" dxfId="25" priority="35" operator="equal">
      <formula>0</formula>
    </cfRule>
  </conditionalFormatting>
  <conditionalFormatting sqref="M117">
    <cfRule type="cellIs" dxfId="24" priority="34" operator="equal">
      <formula>0</formula>
    </cfRule>
  </conditionalFormatting>
  <conditionalFormatting sqref="L24:N24">
    <cfRule type="cellIs" dxfId="23" priority="33" operator="equal">
      <formula>0</formula>
    </cfRule>
  </conditionalFormatting>
  <conditionalFormatting sqref="O24">
    <cfRule type="cellIs" dxfId="22" priority="32" operator="equal">
      <formula>0</formula>
    </cfRule>
  </conditionalFormatting>
  <conditionalFormatting sqref="N14">
    <cfRule type="cellIs" dxfId="21" priority="29" operator="equal">
      <formula>0</formula>
    </cfRule>
  </conditionalFormatting>
  <conditionalFormatting sqref="M14">
    <cfRule type="cellIs" dxfId="20" priority="27" operator="equal">
      <formula>0</formula>
    </cfRule>
  </conditionalFormatting>
  <conditionalFormatting sqref="N15">
    <cfRule type="cellIs" dxfId="19" priority="23" operator="equal">
      <formula>0</formula>
    </cfRule>
  </conditionalFormatting>
  <conditionalFormatting sqref="M15">
    <cfRule type="cellIs" dxfId="18" priority="21" operator="equal">
      <formula>0</formula>
    </cfRule>
  </conditionalFormatting>
  <conditionalFormatting sqref="U58:W113">
    <cfRule type="colorScale" priority="210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211">
      <colorScale>
        <cfvo type="min"/>
        <cfvo type="max"/>
        <color rgb="FFFCFCFF"/>
        <color rgb="FF63BE7B"/>
      </colorScale>
    </cfRule>
  </conditionalFormatting>
  <conditionalFormatting sqref="O8:O15">
    <cfRule type="cellIs" dxfId="17" priority="10" operator="equal">
      <formula>0</formula>
    </cfRule>
  </conditionalFormatting>
  <conditionalFormatting sqref="J18:K25">
    <cfRule type="cellIs" dxfId="16" priority="9" operator="equal">
      <formula>0</formula>
    </cfRule>
  </conditionalFormatting>
  <conditionalFormatting sqref="F15">
    <cfRule type="cellIs" dxfId="15" priority="7" operator="equal">
      <formula>0</formula>
    </cfRule>
  </conditionalFormatting>
  <conditionalFormatting sqref="N114:N115">
    <cfRule type="cellIs" dxfId="14" priority="6" operator="equal">
      <formula>0</formula>
    </cfRule>
  </conditionalFormatting>
  <conditionalFormatting sqref="M114:M115">
    <cfRule type="cellIs" dxfId="13" priority="4" operator="equal">
      <formula>0</formula>
    </cfRule>
  </conditionalFormatting>
  <conditionalFormatting sqref="P58:P115">
    <cfRule type="cellIs" dxfId="12" priority="3" operator="equal">
      <formula>0</formula>
    </cfRule>
  </conditionalFormatting>
  <conditionalFormatting sqref="P58:P115">
    <cfRule type="cellIs" dxfId="11" priority="2" operator="equal">
      <formula>100</formula>
    </cfRule>
  </conditionalFormatting>
  <conditionalFormatting sqref="U114:U115">
    <cfRule type="colorScale" priority="719">
      <colorScale>
        <cfvo type="min"/>
        <cfvo type="percentile" val="50"/>
        <cfvo type="max"/>
        <color rgb="FFF8696B"/>
        <color rgb="FFFCFCFF"/>
        <color rgb="FF5A8AC6"/>
      </colorScale>
    </cfRule>
    <cfRule type="colorScale" priority="720">
      <colorScale>
        <cfvo type="min"/>
        <cfvo type="max"/>
        <color rgb="FFFCFCFF"/>
        <color rgb="FF63BE7B"/>
      </colorScale>
    </cfRule>
  </conditionalFormatting>
  <conditionalFormatting sqref="V114:V115">
    <cfRule type="colorScale" priority="721">
      <colorScale>
        <cfvo type="min"/>
        <cfvo type="max"/>
        <color rgb="FF63BE7B"/>
        <color rgb="FFFFEF9C"/>
      </colorScale>
    </cfRule>
  </conditionalFormatting>
  <conditionalFormatting sqref="J15">
    <cfRule type="cellIs" dxfId="10" priority="1" operator="equal">
      <formula>0</formula>
    </cfRule>
  </conditionalFormatting>
  <hyperlinks>
    <hyperlink ref="T4" location="КАФЕДРА!R21C1" display="← на общую страницу"/>
    <hyperlink ref="T5" location="ФАКУЛЬТЕТ!R21C1" display="← на общую страницу факультетов"/>
  </hyperlinks>
  <pageMargins left="0.23622047244094491" right="0.23622047244094491" top="0.74803149606299213" bottom="0.74803149606299213" header="0.31496062992125984" footer="0.31496062992125984"/>
  <pageSetup paperSize="9" scale="46" fitToHeight="0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9">
    <tabColor theme="0" tint="-0.499984740745262"/>
  </sheetPr>
  <dimension ref="A1:AD136"/>
  <sheetViews>
    <sheetView zoomScale="90" zoomScaleNormal="90" workbookViewId="0">
      <pane xSplit="1" ySplit="1" topLeftCell="B2" activePane="bottomRight" state="frozen"/>
      <selection activeCell="C18" sqref="C18"/>
      <selection pane="topRight" activeCell="C18" sqref="C18"/>
      <selection pane="bottomLeft" activeCell="C18" sqref="C18"/>
      <selection pane="bottomRight" activeCell="N10" sqref="N10"/>
    </sheetView>
  </sheetViews>
  <sheetFormatPr defaultRowHeight="15" x14ac:dyDescent="0.25"/>
  <cols>
    <col min="1" max="1" width="47.140625" style="31" customWidth="1"/>
    <col min="2" max="2" width="9.140625" style="31"/>
    <col min="3" max="3" width="14.85546875" style="31" bestFit="1" customWidth="1"/>
    <col min="4" max="4" width="9.140625" style="31"/>
    <col min="5" max="5" width="9.140625" style="34"/>
    <col min="6" max="11" width="9.140625" style="31"/>
    <col min="12" max="12" width="2.42578125" style="46" customWidth="1"/>
    <col min="13" max="21" width="9.140625" style="31"/>
    <col min="22" max="22" width="3.140625" style="46" customWidth="1"/>
    <col min="23" max="23" width="13.7109375" style="31" customWidth="1"/>
    <col min="24" max="25" width="9.140625" style="31"/>
    <col min="26" max="26" width="22" style="31" customWidth="1"/>
    <col min="27" max="27" width="16.140625" customWidth="1"/>
    <col min="28" max="28" width="27.140625" customWidth="1"/>
    <col min="29" max="29" width="25.140625" customWidth="1"/>
    <col min="30" max="30" width="25" customWidth="1"/>
  </cols>
  <sheetData>
    <row r="1" spans="1:27" ht="19.5" x14ac:dyDescent="0.25">
      <c r="A1" s="488">
        <v>184</v>
      </c>
      <c r="B1" s="25"/>
      <c r="C1" s="145">
        <v>150</v>
      </c>
      <c r="D1" s="25">
        <v>151</v>
      </c>
      <c r="E1" s="171">
        <v>152</v>
      </c>
      <c r="F1" s="25">
        <v>153</v>
      </c>
      <c r="G1" s="145">
        <v>154</v>
      </c>
      <c r="H1" s="145">
        <v>156</v>
      </c>
      <c r="I1" s="25">
        <v>157</v>
      </c>
      <c r="J1" s="25">
        <v>182</v>
      </c>
      <c r="K1" s="25">
        <v>183</v>
      </c>
      <c r="L1" s="490">
        <v>158</v>
      </c>
      <c r="M1" s="25">
        <v>159</v>
      </c>
      <c r="N1" s="145">
        <v>160</v>
      </c>
      <c r="O1" s="25">
        <v>161</v>
      </c>
      <c r="P1" s="145">
        <v>162</v>
      </c>
      <c r="Q1" s="25">
        <v>163</v>
      </c>
      <c r="R1" s="25">
        <v>165</v>
      </c>
      <c r="S1" s="145">
        <v>166</v>
      </c>
      <c r="T1" s="145">
        <v>183</v>
      </c>
      <c r="U1" s="145">
        <v>184</v>
      </c>
      <c r="V1" s="490"/>
      <c r="W1" s="25">
        <v>168</v>
      </c>
      <c r="X1" s="145">
        <v>169</v>
      </c>
      <c r="Y1" s="25"/>
      <c r="Z1" s="145">
        <v>185</v>
      </c>
    </row>
    <row r="2" spans="1:27" ht="19.5" x14ac:dyDescent="0.25">
      <c r="A2" s="23"/>
      <c r="C2" s="31">
        <v>176</v>
      </c>
      <c r="D2" s="31">
        <v>177</v>
      </c>
      <c r="F2" s="31">
        <v>179</v>
      </c>
      <c r="G2" s="31">
        <v>180</v>
      </c>
      <c r="H2" s="31">
        <v>182</v>
      </c>
      <c r="I2" s="31">
        <v>183</v>
      </c>
      <c r="W2">
        <v>186</v>
      </c>
    </row>
    <row r="3" spans="1:27" ht="105" customHeight="1" x14ac:dyDescent="0.25">
      <c r="A3"/>
      <c r="B3" s="51">
        <v>9</v>
      </c>
      <c r="C3" s="51" t="str">
        <f>HLOOKUP(C$1,ИНСТИТУТ!$CS$1:$EQ$25,$B3,0)</f>
        <v>факт</v>
      </c>
      <c r="D3" s="51" t="str">
        <f>HLOOKUP(D$1,ИНСТИТУТ!$CS$1:$EQ$25,$B3,0)</f>
        <v>факт</v>
      </c>
      <c r="E3" s="172" t="str">
        <f>HLOOKUP(E$1,ИНСТИТУТ!$CS$1:$EQ$25,$B3,0)</f>
        <v>факт</v>
      </c>
      <c r="F3" s="51" t="str">
        <f>HLOOKUP(F$1,ИНСТИТУТ!$CS$1:$EQ$25,$B3,0)</f>
        <v>факт</v>
      </c>
      <c r="G3" s="51" t="str">
        <f>HLOOKUP(G$1,ИНСТИТУТ!$CS$1:$EQ$25,$B3,0)</f>
        <v>факт</v>
      </c>
      <c r="H3" s="51" t="str">
        <f>HLOOKUP(H$1,ИНСТИТУТ!$CS$1:$EQ$25,$B3,0)</f>
        <v>факт</v>
      </c>
      <c r="I3" s="51" t="str">
        <f>HLOOKUP(I$1,ИНСТИТУТ!$CS$1:$EQ$25,$B3,0)</f>
        <v>факт</v>
      </c>
      <c r="J3" s="51" t="str">
        <f>HLOOKUP(J$1,'«ВУЗ-РЕГИОН»(кафедры)'!W1:Y27,13,0)</f>
        <v>факт</v>
      </c>
      <c r="K3" s="51" t="str">
        <f>HLOOKUP(K$1,' "Вуз зож" (кафедры)'!S1:U27,13,0)</f>
        <v>факт</v>
      </c>
      <c r="L3" s="491"/>
      <c r="M3" s="51" t="str">
        <f>HLOOKUP(M$1,ИНСТИТУТ!$CS$1:$EQ$25,$B3,0)</f>
        <v>максимум возможный</v>
      </c>
      <c r="N3" s="51" t="str">
        <f>HLOOKUP(N$1,ИНСТИТУТ!$CS$1:$EQ$25,$B3,0)</f>
        <v>максимум возможный</v>
      </c>
      <c r="O3" s="51" t="str">
        <f>HLOOKUP(O$1,ИНСТИТУТ!$CS$1:$EQ$25,$B3,0)</f>
        <v>максимум возможный</v>
      </c>
      <c r="P3" s="51" t="str">
        <f>HLOOKUP(P$1,ИНСТИТУТ!$CS$1:$EQ$25,$B3,0)</f>
        <v>максимум возможный</v>
      </c>
      <c r="Q3" s="51" t="str">
        <f>HLOOKUP(Q$1,ИНСТИТУТ!$CS$1:$EQ$25,$B3,0)</f>
        <v>максимум возможный</v>
      </c>
      <c r="R3" s="51" t="str">
        <f>HLOOKUP(R$1,ИНСТИТУТ!$CS$1:$EQ$25,$B3,0)</f>
        <v>максимум возможный</v>
      </c>
      <c r="S3" s="51" t="str">
        <f>HLOOKUP(S$1,ИНСТИТУТ!$CS$1:$EQ$25,$B3,0)</f>
        <v>максимум возможный</v>
      </c>
      <c r="T3" s="51" t="str">
        <f>HLOOKUP(T$1,'«ВУЗ-РЕГИОН»(кафедры)'!W1:Y27,13,0)</f>
        <v>максимум возможный</v>
      </c>
      <c r="U3" s="51" t="str">
        <f>HLOOKUP(U$1,' "Вуз зож" (кафедры)'!S1:U27,13,0)</f>
        <v>максимум возможный</v>
      </c>
      <c r="V3" s="491"/>
      <c r="W3" s="51" t="str">
        <f>HLOOKUP(W$1,ИНСТИТУТ!$CS$1:$EQ$25,$B3,0)</f>
        <v>сДПО</v>
      </c>
      <c r="X3" s="51" t="str">
        <f>HLOOKUP(X$1,ИНСТИТУТ!$CS$1:$EQ$25,$B3,0)</f>
        <v>сДПО</v>
      </c>
      <c r="Y3" s="50"/>
      <c r="Z3" s="50"/>
    </row>
    <row r="4" spans="1:27" ht="119.25" customHeight="1" x14ac:dyDescent="0.25">
      <c r="A4" s="170" t="s">
        <v>120</v>
      </c>
      <c r="B4" s="51">
        <v>10</v>
      </c>
      <c r="C4" s="51" t="str">
        <f>HLOOKUP(C$1,ИНСТИТУТ!$CS$1:$EQ$25,$B4,0)</f>
        <v>УМД</v>
      </c>
      <c r="D4" s="172" t="str">
        <f>HLOOKUP(D$1,ИНСТИТУТ!$CS$1:$EQ$25,$B4,0)</f>
        <v>ДПО</v>
      </c>
      <c r="E4" s="172" t="str">
        <f>HLOOKUP(E$1,ИНСТИТУТ!$CS$1:$EQ$25,$B4,0)</f>
        <v>УМД без ДПО</v>
      </c>
      <c r="F4" s="172" t="str">
        <f>HLOOKUP(F$1,ИНСТИТУТ!$CS$1:$EQ$25,$B4,0)</f>
        <v>Наука</v>
      </c>
      <c r="G4" s="172" t="str">
        <f>HLOOKUP(G$1,ИНСТИТУТ!$CS$1:$EQ$25,$B4,0)</f>
        <v>Профориентация и ВД</v>
      </c>
      <c r="H4" s="51" t="str">
        <f>HLOOKUP(H$1,ИНСТИТУТ!$CS$1:$EQ$25,$B4,0)</f>
        <v>Экономика</v>
      </c>
      <c r="I4" s="172" t="str">
        <f>HLOOKUP(I$1,ИНСТИТУТ!$CS$1:$EQ$25,$B4,0)</f>
        <v>Кадры</v>
      </c>
      <c r="J4" s="51" t="s">
        <v>493</v>
      </c>
      <c r="K4" s="51" t="s">
        <v>494</v>
      </c>
      <c r="L4" s="491"/>
      <c r="M4" s="51" t="str">
        <f>HLOOKUP(M$1,ИНСТИТУТ!$CS$1:$EQ$25,$B4,0)</f>
        <v>УМД</v>
      </c>
      <c r="N4" s="172" t="str">
        <f>HLOOKUP(N$1,ИНСТИТУТ!$CS$1:$EQ$25,$B4,0)</f>
        <v>ДПО</v>
      </c>
      <c r="O4" s="51" t="str">
        <f>HLOOKUP(O$1,ИНСТИТУТ!$CS$1:$EQ$25,$B4,0)</f>
        <v>УМД без ДПО</v>
      </c>
      <c r="P4" s="172" t="str">
        <f>HLOOKUP(P$1,ИНСТИТУТ!$CS$1:$EQ$25,$B4,0)</f>
        <v>Наука</v>
      </c>
      <c r="Q4" s="172" t="str">
        <f>HLOOKUP(Q$1,ИНСТИТУТ!$CS$1:$EQ$25,$B4,0)</f>
        <v>Профориентация и ВД</v>
      </c>
      <c r="R4" s="51" t="str">
        <f>HLOOKUP(R$1,ИНСТИТУТ!$CS$1:$EQ$25,$B4,0)</f>
        <v>Экономика</v>
      </c>
      <c r="S4" s="172" t="str">
        <f>HLOOKUP(S$1,ИНСТИТУТ!$CS$1:$EQ$25,$B4,0)</f>
        <v>Кадры</v>
      </c>
      <c r="T4" s="51" t="s">
        <v>493</v>
      </c>
      <c r="U4" s="51" t="s">
        <v>494</v>
      </c>
      <c r="V4" s="491"/>
      <c r="W4" s="51" t="str">
        <f>HLOOKUP(W$1,ИНСТИТУТ!$CS$1:$EQ$25,$B4,0)</f>
        <v>факт с ДПО</v>
      </c>
      <c r="X4" s="51" t="str">
        <f>HLOOKUP(X$1,ИНСТИТУТ!$CS$1:$EQ$25,$B4,0)</f>
        <v>максимум возможный</v>
      </c>
      <c r="Y4"/>
      <c r="Z4"/>
    </row>
    <row r="5" spans="1:27" x14ac:dyDescent="0.25">
      <c r="C5" s="79">
        <v>30</v>
      </c>
      <c r="D5" s="173">
        <v>0</v>
      </c>
      <c r="E5" s="79">
        <v>30</v>
      </c>
      <c r="F5" s="173">
        <v>0</v>
      </c>
      <c r="G5" s="173">
        <v>0</v>
      </c>
      <c r="H5" s="79">
        <v>30</v>
      </c>
      <c r="I5" s="79">
        <v>30</v>
      </c>
      <c r="J5" s="79">
        <v>0</v>
      </c>
      <c r="K5" s="79">
        <v>0</v>
      </c>
      <c r="L5" s="492"/>
      <c r="M5" s="146"/>
      <c r="N5" s="173"/>
      <c r="O5" s="146"/>
      <c r="P5" s="173"/>
      <c r="Q5" s="173"/>
      <c r="R5" s="146"/>
      <c r="S5" s="173"/>
      <c r="T5" s="173"/>
      <c r="U5" s="173"/>
      <c r="W5" s="79">
        <v>30</v>
      </c>
      <c r="Y5"/>
      <c r="Z5"/>
    </row>
    <row r="6" spans="1:27" ht="18.75" x14ac:dyDescent="0.3">
      <c r="A6" s="487" t="str">
        <f>HLOOKUP(A$1,ИНСТИТУТ!$CS$1:$EQ$27,$B6,0)</f>
        <v>сумма по кафедрам</v>
      </c>
      <c r="B6" s="92">
        <v>19</v>
      </c>
      <c r="C6" s="166" t="e">
        <f>HLOOKUP(C$1,ИНСТИТУТ!$CS$1:$EQ$27,$B6,0)</f>
        <v>#DIV/0!</v>
      </c>
      <c r="D6" s="174" t="e">
        <f>HLOOKUP(D$1,ИНСТИТУТ!$CS$1:$EQ$27,$B6,0)</f>
        <v>#DIV/0!</v>
      </c>
      <c r="E6" s="174" t="e">
        <f>HLOOKUP(E$1,ИНСТИТУТ!$CS$1:$EQ$27,$B6,0)</f>
        <v>#DIV/0!</v>
      </c>
      <c r="F6" s="174" t="e">
        <f>HLOOKUP(F$1,ИНСТИТУТ!$CS$1:$EQ$27,$B6,0)</f>
        <v>#DIV/0!</v>
      </c>
      <c r="G6" s="174" t="e">
        <f>HLOOKUP(G$1,ИНСТИТУТ!$CS$1:$EQ$27,$B6,0)</f>
        <v>#DIV/0!</v>
      </c>
      <c r="H6" s="175" t="e">
        <f>HLOOKUP(H$1,ИНСТИТУТ!$CS$1:$EQ$27,$B6,0)</f>
        <v>#DIV/0!</v>
      </c>
      <c r="I6" s="781" t="e">
        <f>HLOOKUP(I$1,ИНСТИТУТ!$CS$1:$EQ$27,$B6,0)</f>
        <v>#DIV/0!</v>
      </c>
      <c r="J6" s="781">
        <v>0</v>
      </c>
      <c r="K6" s="781">
        <v>0</v>
      </c>
      <c r="L6" s="493"/>
      <c r="M6" s="166" t="e">
        <f>HLOOKUP(M$1,ИНСТИТУТ!$CS$1:$EQ$27,$B6,0)</f>
        <v>#DIV/0!</v>
      </c>
      <c r="N6" s="174" t="e">
        <f>HLOOKUP(N$1,ИНСТИТУТ!$CS$1:$EQ$27,$B6,0)</f>
        <v>#DIV/0!</v>
      </c>
      <c r="O6" s="166" t="e">
        <f>HLOOKUP(O$1,ИНСТИТУТ!$CS$1:$EQ$27,$B6,0)</f>
        <v>#DIV/0!</v>
      </c>
      <c r="P6" s="174" t="e">
        <f>HLOOKUP(P$1,ИНСТИТУТ!$CS$1:$EQ$27,$B6,0)</f>
        <v>#DIV/0!</v>
      </c>
      <c r="Q6" s="174" t="e">
        <f>HLOOKUP(Q$1,ИНСТИТУТ!$CS$1:$EQ$27,$B6,0)</f>
        <v>#DIV/0!</v>
      </c>
      <c r="R6" s="175" t="e">
        <f>HLOOKUP(R$1,ИНСТИТУТ!$CS$1:$EQ$27,$B6,0)</f>
        <v>#DIV/0!</v>
      </c>
      <c r="S6" s="1913" t="e">
        <f>HLOOKUP(S$1,ИНСТИТУТ!$CS$1:$EQ$27,$B6,0)</f>
        <v>#DIV/0!</v>
      </c>
      <c r="T6" s="781">
        <v>0</v>
      </c>
      <c r="U6" s="781">
        <v>0</v>
      </c>
      <c r="V6" s="493"/>
      <c r="W6" s="175" t="e">
        <f>HLOOKUP(W$1,ИНСТИТУТ!$CS$1:$EQ$27,$B6,0)</f>
        <v>#DIV/0!</v>
      </c>
      <c r="X6" s="175" t="e">
        <f>HLOOKUP(X$1,ИНСТИТУТ!$CS$1:$EQ$27,$B6,0)</f>
        <v>#DIV/0!</v>
      </c>
      <c r="Y6"/>
      <c r="Z6"/>
      <c r="AA6" s="511" t="e">
        <f>W6/X6*100</f>
        <v>#DIV/0!</v>
      </c>
    </row>
    <row r="7" spans="1:27" ht="18.75" x14ac:dyDescent="0.3">
      <c r="A7" s="167" t="str">
        <f>HLOOKUP(A$1,ИНСТИТУТ!$CS$1:$EQ$27,$B7,0)</f>
        <v>Институт клинической медицины</v>
      </c>
      <c r="B7" s="92">
        <v>20</v>
      </c>
      <c r="C7" s="166" t="e">
        <f>HLOOKUP(C$1,ИНСТИТУТ!$CS$1:$EQ$27,$B7,0)</f>
        <v>#DIV/0!</v>
      </c>
      <c r="D7" s="174" t="e">
        <f>HLOOKUP(D$1,ИНСТИТУТ!$CS$1:$EQ$27,$B7,0)</f>
        <v>#DIV/0!</v>
      </c>
      <c r="E7" s="174" t="e">
        <f>HLOOKUP(E$1,ИНСТИТУТ!$CS$1:$EQ$27,$B7,0)</f>
        <v>#DIV/0!</v>
      </c>
      <c r="F7" s="781" t="e">
        <f>HLOOKUP(F$1,ИНСТИТУТ!$CS$1:$EQ$27,$B7,0)</f>
        <v>#DIV/0!</v>
      </c>
      <c r="G7" s="174" t="e">
        <f>HLOOKUP(G$1,ИНСТИТУТ!$CS$1:$EQ$27,$B7,0)</f>
        <v>#DIV/0!</v>
      </c>
      <c r="H7" s="175" t="e">
        <f>HLOOKUP(H$1,ИНСТИТУТ!$CS$1:$EQ$27,$B7,0)</f>
        <v>#DIV/0!</v>
      </c>
      <c r="I7" s="781" t="e">
        <f>HLOOKUP(I$1,ИНСТИТУТ!$CS$1:$EQ$27,$B7,0)</f>
        <v>#DIV/0!</v>
      </c>
      <c r="J7" s="781">
        <v>0</v>
      </c>
      <c r="K7" s="781">
        <v>0</v>
      </c>
      <c r="L7" s="493"/>
      <c r="M7" s="166" t="e">
        <f>HLOOKUP(M$1,ИНСТИТУТ!$CS$1:$EQ$27,$B7,0)</f>
        <v>#DIV/0!</v>
      </c>
      <c r="N7" s="174" t="e">
        <f>HLOOKUP(N$1,ИНСТИТУТ!$CS$1:$EQ$27,$B7,0)</f>
        <v>#DIV/0!</v>
      </c>
      <c r="O7" s="166" t="e">
        <f>HLOOKUP(O$1,ИНСТИТУТ!$CS$1:$EQ$27,$B7,0)</f>
        <v>#DIV/0!</v>
      </c>
      <c r="P7" s="174" t="e">
        <f>HLOOKUP(P$1,ИНСТИТУТ!$CS$1:$EQ$27,$B7,0)</f>
        <v>#DIV/0!</v>
      </c>
      <c r="Q7" s="174" t="e">
        <f>HLOOKUP(Q$1,ИНСТИТУТ!$CS$1:$EQ$27,$B7,0)</f>
        <v>#DIV/0!</v>
      </c>
      <c r="R7" s="175" t="e">
        <f>HLOOKUP(R$1,ИНСТИТУТ!$CS$1:$EQ$27,$B7,0)</f>
        <v>#DIV/0!</v>
      </c>
      <c r="S7" s="1913" t="e">
        <f>HLOOKUP(S$1,ИНСТИТУТ!$CS$1:$EQ$27,$B7,0)</f>
        <v>#DIV/0!</v>
      </c>
      <c r="T7" s="781">
        <v>0</v>
      </c>
      <c r="U7" s="781">
        <v>0</v>
      </c>
      <c r="V7" s="493"/>
      <c r="W7" s="175" t="e">
        <f>HLOOKUP(W$1,ИНСТИТУТ!$CS$1:$EQ$27,$B7,0)</f>
        <v>#DIV/0!</v>
      </c>
      <c r="X7" s="175" t="e">
        <f>HLOOKUP(X$1,ИНСТИТУТ!$CS$1:$EQ$27,$B7,0)</f>
        <v>#DIV/0!</v>
      </c>
      <c r="Y7"/>
      <c r="Z7"/>
      <c r="AA7" s="511" t="e">
        <f t="shared" ref="AA7:AA13" si="0">W7/X7*100</f>
        <v>#DIV/0!</v>
      </c>
    </row>
    <row r="8" spans="1:27" ht="18.75" x14ac:dyDescent="0.3">
      <c r="A8" s="167" t="str">
        <f>HLOOKUP(A$1,ИНСТИТУТ!$CS$1:$EQ$27,$B8,0)</f>
        <v>Институт педиатрии</v>
      </c>
      <c r="B8" s="92">
        <v>21</v>
      </c>
      <c r="C8" s="166" t="e">
        <f>HLOOKUP(C$1,ИНСТИТУТ!$CS$1:$EQ$27,$B8,0)</f>
        <v>#DIV/0!</v>
      </c>
      <c r="D8" s="174" t="e">
        <f>HLOOKUP(D$1,ИНСТИТУТ!$CS$1:$EQ$27,$B8,0)</f>
        <v>#DIV/0!</v>
      </c>
      <c r="E8" s="174" t="e">
        <f>HLOOKUP(E$1,ИНСТИТУТ!$CS$1:$EQ$27,$B8,0)</f>
        <v>#DIV/0!</v>
      </c>
      <c r="F8" s="781" t="e">
        <f>HLOOKUP(F$1,ИНСТИТУТ!$CS$1:$EQ$27,$B8,0)</f>
        <v>#DIV/0!</v>
      </c>
      <c r="G8" s="174" t="e">
        <f>HLOOKUP(G$1,ИНСТИТУТ!$CS$1:$EQ$27,$B8,0)</f>
        <v>#DIV/0!</v>
      </c>
      <c r="H8" s="175" t="e">
        <f>HLOOKUP(H$1,ИНСТИТУТ!$CS$1:$EQ$27,$B8,0)</f>
        <v>#DIV/0!</v>
      </c>
      <c r="I8" s="781" t="e">
        <f>HLOOKUP(I$1,ИНСТИТУТ!$CS$1:$EQ$27,$B8,0)</f>
        <v>#DIV/0!</v>
      </c>
      <c r="J8" s="781">
        <v>0</v>
      </c>
      <c r="K8" s="781">
        <v>0</v>
      </c>
      <c r="L8" s="493"/>
      <c r="M8" s="166" t="e">
        <f>HLOOKUP(M$1,ИНСТИТУТ!$CS$1:$EQ$27,$B8,0)</f>
        <v>#DIV/0!</v>
      </c>
      <c r="N8" s="174" t="e">
        <f>HLOOKUP(N$1,ИНСТИТУТ!$CS$1:$EQ$27,$B8,0)</f>
        <v>#DIV/0!</v>
      </c>
      <c r="O8" s="166" t="e">
        <f>HLOOKUP(O$1,ИНСТИТУТ!$CS$1:$EQ$27,$B8,0)</f>
        <v>#DIV/0!</v>
      </c>
      <c r="P8" s="174" t="e">
        <f>HLOOKUP(P$1,ИНСТИТУТ!$CS$1:$EQ$27,$B8,0)</f>
        <v>#DIV/0!</v>
      </c>
      <c r="Q8" s="174" t="e">
        <f>HLOOKUP(Q$1,ИНСТИТУТ!$CS$1:$EQ$27,$B8,0)</f>
        <v>#DIV/0!</v>
      </c>
      <c r="R8" s="175" t="e">
        <f>HLOOKUP(R$1,ИНСТИТУТ!$CS$1:$EQ$27,$B8,0)</f>
        <v>#DIV/0!</v>
      </c>
      <c r="S8" s="1913" t="e">
        <f>HLOOKUP(S$1,ИНСТИТУТ!$CS$1:$EQ$27,$B8,0)</f>
        <v>#DIV/0!</v>
      </c>
      <c r="T8" s="781">
        <v>0</v>
      </c>
      <c r="U8" s="781">
        <v>0</v>
      </c>
      <c r="V8" s="493"/>
      <c r="W8" s="175" t="e">
        <f>HLOOKUP(W$1,ИНСТИТУТ!$CS$1:$EQ$27,$B8,0)</f>
        <v>#DIV/0!</v>
      </c>
      <c r="X8" s="175" t="e">
        <f>HLOOKUP(X$1,ИНСТИТУТ!$CS$1:$EQ$27,$B8,0)</f>
        <v>#DIV/0!</v>
      </c>
      <c r="Y8"/>
      <c r="Z8"/>
      <c r="AA8" s="511" t="e">
        <f t="shared" si="0"/>
        <v>#DIV/0!</v>
      </c>
    </row>
    <row r="9" spans="1:27" ht="18.75" x14ac:dyDescent="0.3">
      <c r="A9" s="167" t="str">
        <f>HLOOKUP(A$1,ИНСТИТУТ!$CS$1:$EQ$27,$B9,0)</f>
        <v>Институт стоматологии</v>
      </c>
      <c r="B9" s="92">
        <v>22</v>
      </c>
      <c r="C9" s="166" t="e">
        <f>HLOOKUP(C$1,ИНСТИТУТ!$CS$1:$EQ$27,$B9,0)</f>
        <v>#DIV/0!</v>
      </c>
      <c r="D9" s="174" t="e">
        <f>HLOOKUP(D$1,ИНСТИТУТ!$CS$1:$EQ$27,$B9,0)</f>
        <v>#DIV/0!</v>
      </c>
      <c r="E9" s="174" t="e">
        <f>HLOOKUP(E$1,ИНСТИТУТ!$CS$1:$EQ$27,$B9,0)</f>
        <v>#DIV/0!</v>
      </c>
      <c r="F9" s="781" t="e">
        <f>HLOOKUP(F$1,ИНСТИТУТ!$CS$1:$EQ$27,$B9,0)</f>
        <v>#DIV/0!</v>
      </c>
      <c r="G9" s="174" t="e">
        <f>HLOOKUP(G$1,ИНСТИТУТ!$CS$1:$EQ$27,$B9,0)</f>
        <v>#DIV/0!</v>
      </c>
      <c r="H9" s="175" t="e">
        <f>HLOOKUP(H$1,ИНСТИТУТ!$CS$1:$EQ$27,$B9,0)</f>
        <v>#DIV/0!</v>
      </c>
      <c r="I9" s="781" t="e">
        <f>HLOOKUP(I$1,ИНСТИТУТ!$CS$1:$EQ$27,$B9,0)</f>
        <v>#DIV/0!</v>
      </c>
      <c r="J9" s="781">
        <v>0</v>
      </c>
      <c r="K9" s="781">
        <v>0</v>
      </c>
      <c r="L9" s="493"/>
      <c r="M9" s="166" t="e">
        <f>HLOOKUP(M$1,ИНСТИТУТ!$CS$1:$EQ$27,$B9,0)</f>
        <v>#DIV/0!</v>
      </c>
      <c r="N9" s="174" t="e">
        <f>HLOOKUP(N$1,ИНСТИТУТ!$CS$1:$EQ$27,$B9,0)</f>
        <v>#DIV/0!</v>
      </c>
      <c r="O9" s="166" t="e">
        <f>HLOOKUP(O$1,ИНСТИТУТ!$CS$1:$EQ$27,$B9,0)</f>
        <v>#DIV/0!</v>
      </c>
      <c r="P9" s="174" t="e">
        <f>HLOOKUP(P$1,ИНСТИТУТ!$CS$1:$EQ$27,$B9,0)</f>
        <v>#DIV/0!</v>
      </c>
      <c r="Q9" s="174" t="e">
        <f>HLOOKUP(Q$1,ИНСТИТУТ!$CS$1:$EQ$27,$B9,0)</f>
        <v>#DIV/0!</v>
      </c>
      <c r="R9" s="175" t="e">
        <f>HLOOKUP(R$1,ИНСТИТУТ!$CS$1:$EQ$27,$B9,0)</f>
        <v>#DIV/0!</v>
      </c>
      <c r="S9" s="1913" t="e">
        <f>HLOOKUP(S$1,ИНСТИТУТ!$CS$1:$EQ$27,$B9,0)</f>
        <v>#DIV/0!</v>
      </c>
      <c r="T9" s="781">
        <v>0</v>
      </c>
      <c r="U9" s="781">
        <v>0</v>
      </c>
      <c r="V9" s="493"/>
      <c r="W9" s="175" t="e">
        <f>HLOOKUP(W$1,ИНСТИТУТ!$CS$1:$EQ$27,$B9,0)</f>
        <v>#DIV/0!</v>
      </c>
      <c r="X9" s="175" t="e">
        <f>HLOOKUP(X$1,ИНСТИТУТ!$CS$1:$EQ$27,$B9,0)</f>
        <v>#DIV/0!</v>
      </c>
      <c r="Y9"/>
      <c r="Z9"/>
      <c r="AA9" s="511" t="e">
        <f t="shared" si="0"/>
        <v>#DIV/0!</v>
      </c>
    </row>
    <row r="10" spans="1:27" ht="30" x14ac:dyDescent="0.3">
      <c r="A10" s="167" t="str">
        <f>HLOOKUP(A$1,ИНСТИТУТ!$CS$1:$EQ$27,$B10,0)</f>
        <v>Институт общественного здоровья и профилактической медицины</v>
      </c>
      <c r="B10" s="92">
        <v>23</v>
      </c>
      <c r="C10" s="166" t="e">
        <f>HLOOKUP(C$1,ИНСТИТУТ!$CS$1:$EQ$27,$B10,0)</f>
        <v>#DIV/0!</v>
      </c>
      <c r="D10" s="174" t="e">
        <f>HLOOKUP(D$1,ИНСТИТУТ!$CS$1:$EQ$27,$B10,0)</f>
        <v>#DIV/0!</v>
      </c>
      <c r="E10" s="174" t="e">
        <f>HLOOKUP(E$1,ИНСТИТУТ!$CS$1:$EQ$27,$B10,0)</f>
        <v>#DIV/0!</v>
      </c>
      <c r="F10" s="781" t="e">
        <f>HLOOKUP(F$1,ИНСТИТУТ!$CS$1:$EQ$27,$B10,0)</f>
        <v>#DIV/0!</v>
      </c>
      <c r="G10" s="174" t="e">
        <f>HLOOKUP(G$1,ИНСТИТУТ!$CS$1:$EQ$27,$B10,0)</f>
        <v>#DIV/0!</v>
      </c>
      <c r="H10" s="175" t="e">
        <f>HLOOKUP(H$1,ИНСТИТУТ!$CS$1:$EQ$27,$B10,0)</f>
        <v>#DIV/0!</v>
      </c>
      <c r="I10" s="781" t="e">
        <f>HLOOKUP(I$1,ИНСТИТУТ!$CS$1:$EQ$27,$B10,0)</f>
        <v>#DIV/0!</v>
      </c>
      <c r="J10" s="781">
        <v>0</v>
      </c>
      <c r="K10" s="781">
        <v>0</v>
      </c>
      <c r="L10" s="493"/>
      <c r="M10" s="166" t="e">
        <f>HLOOKUP(M$1,ИНСТИТУТ!$CS$1:$EQ$27,$B10,0)</f>
        <v>#DIV/0!</v>
      </c>
      <c r="N10" s="174" t="e">
        <f>HLOOKUP(N$1,ИНСТИТУТ!$CS$1:$EQ$27,$B10,0)</f>
        <v>#DIV/0!</v>
      </c>
      <c r="O10" s="166" t="e">
        <f>HLOOKUP(O$1,ИНСТИТУТ!$CS$1:$EQ$27,$B10,0)</f>
        <v>#DIV/0!</v>
      </c>
      <c r="P10" s="174" t="e">
        <f>HLOOKUP(P$1,ИНСТИТУТ!$CS$1:$EQ$27,$B10,0)</f>
        <v>#DIV/0!</v>
      </c>
      <c r="Q10" s="174" t="e">
        <f>HLOOKUP(Q$1,ИНСТИТУТ!$CS$1:$EQ$27,$B10,0)</f>
        <v>#DIV/0!</v>
      </c>
      <c r="R10" s="175" t="e">
        <f>HLOOKUP(R$1,ИНСТИТУТ!$CS$1:$EQ$27,$B10,0)</f>
        <v>#DIV/0!</v>
      </c>
      <c r="S10" s="1913" t="e">
        <f>HLOOKUP(S$1,ИНСТИТУТ!$CS$1:$EQ$27,$B10,0)</f>
        <v>#DIV/0!</v>
      </c>
      <c r="T10" s="781">
        <v>0</v>
      </c>
      <c r="U10" s="781">
        <v>0</v>
      </c>
      <c r="V10" s="493"/>
      <c r="W10" s="175" t="e">
        <f>HLOOKUP(W$1,ИНСТИТУТ!$CS$1:$EQ$27,$B10,0)</f>
        <v>#DIV/0!</v>
      </c>
      <c r="X10" s="175" t="e">
        <f>HLOOKUP(X$1,ИНСТИТУТ!$CS$1:$EQ$27,$B10,0)</f>
        <v>#DIV/0!</v>
      </c>
      <c r="Y10"/>
      <c r="Z10"/>
      <c r="AA10" s="511" t="e">
        <f t="shared" si="0"/>
        <v>#DIV/0!</v>
      </c>
    </row>
    <row r="11" spans="1:27" ht="18.75" x14ac:dyDescent="0.3">
      <c r="A11" s="486" t="str">
        <f>HLOOKUP(A$1,ИНСТИТУТ!$CS$1:$EQ$27,$B11,0)</f>
        <v>Институт фармации</v>
      </c>
      <c r="B11" s="92">
        <v>24</v>
      </c>
      <c r="C11" s="166" t="e">
        <f>HLOOKUP(C$1,ИНСТИТУТ!$CS$1:$EQ$27,$B11,0)</f>
        <v>#DIV/0!</v>
      </c>
      <c r="D11" s="174" t="e">
        <f>HLOOKUP(D$1,ИНСТИТУТ!$CS$1:$EQ$27,$B11,0)</f>
        <v>#DIV/0!</v>
      </c>
      <c r="E11" s="174" t="e">
        <f>HLOOKUP(E$1,ИНСТИТУТ!$CS$1:$EQ$27,$B11,0)</f>
        <v>#DIV/0!</v>
      </c>
      <c r="F11" s="781" t="e">
        <f>HLOOKUP(F$1,ИНСТИТУТ!$CS$1:$EQ$27,$B11,0)</f>
        <v>#DIV/0!</v>
      </c>
      <c r="G11" s="174" t="e">
        <f>HLOOKUP(G$1,ИНСТИТУТ!$CS$1:$EQ$27,$B11,0)</f>
        <v>#DIV/0!</v>
      </c>
      <c r="H11" s="175" t="e">
        <f>HLOOKUP(H$1,ИНСТИТУТ!$CS$1:$EQ$27,$B11,0)</f>
        <v>#DIV/0!</v>
      </c>
      <c r="I11" s="781" t="e">
        <f>HLOOKUP(I$1,ИНСТИТУТ!$CS$1:$EQ$27,$B11,0)</f>
        <v>#DIV/0!</v>
      </c>
      <c r="J11" s="781">
        <v>0</v>
      </c>
      <c r="K11" s="781">
        <v>0</v>
      </c>
      <c r="L11" s="493"/>
      <c r="M11" s="166" t="e">
        <f>HLOOKUP(M$1,ИНСТИТУТ!$CS$1:$EQ$27,$B11,0)</f>
        <v>#DIV/0!</v>
      </c>
      <c r="N11" s="174" t="e">
        <f>HLOOKUP(N$1,ИНСТИТУТ!$CS$1:$EQ$27,$B11,0)</f>
        <v>#DIV/0!</v>
      </c>
      <c r="O11" s="166" t="e">
        <f>HLOOKUP(O$1,ИНСТИТУТ!$CS$1:$EQ$27,$B11,0)</f>
        <v>#DIV/0!</v>
      </c>
      <c r="P11" s="174" t="e">
        <f>HLOOKUP(P$1,ИНСТИТУТ!$CS$1:$EQ$27,$B11,0)</f>
        <v>#DIV/0!</v>
      </c>
      <c r="Q11" s="174" t="e">
        <f>HLOOKUP(Q$1,ИНСТИТУТ!$CS$1:$EQ$27,$B11,0)</f>
        <v>#DIV/0!</v>
      </c>
      <c r="R11" s="175" t="e">
        <f>HLOOKUP(R$1,ИНСТИТУТ!$CS$1:$EQ$27,$B11,0)</f>
        <v>#DIV/0!</v>
      </c>
      <c r="S11" s="1913" t="e">
        <f>HLOOKUP(S$1,ИНСТИТУТ!$CS$1:$EQ$27,$B11,0)</f>
        <v>#DIV/0!</v>
      </c>
      <c r="T11" s="781">
        <v>0</v>
      </c>
      <c r="U11" s="781">
        <v>0</v>
      </c>
      <c r="V11" s="493"/>
      <c r="W11" s="175" t="e">
        <f>HLOOKUP(W$1,ИНСТИТУТ!$CS$1:$EQ$27,$B11,0)</f>
        <v>#DIV/0!</v>
      </c>
      <c r="X11" s="175" t="e">
        <f>HLOOKUP(X$1,ИНСТИТУТ!$CS$1:$EQ$27,$B11,0)</f>
        <v>#DIV/0!</v>
      </c>
      <c r="Y11"/>
      <c r="Z11"/>
      <c r="AA11" s="511" t="e">
        <f t="shared" si="0"/>
        <v>#DIV/0!</v>
      </c>
    </row>
    <row r="12" spans="1:27" s="497" customFormat="1" ht="18.75" x14ac:dyDescent="0.3">
      <c r="A12" s="486" t="str">
        <f>HLOOKUP(A$1,ИНСТИТУТ!$CS$1:$EQ$27,$B12,0)</f>
        <v>Институт клинической психологии</v>
      </c>
      <c r="B12" s="92">
        <v>25</v>
      </c>
      <c r="C12" s="166" t="e">
        <f>HLOOKUP(C$1,ИНСТИТУТ!$CS$1:$EQ$27,$B12,0)</f>
        <v>#DIV/0!</v>
      </c>
      <c r="D12" s="174" t="e">
        <f>HLOOKUP(D$1,ИНСТИТУТ!$CS$1:$EQ$27,$B12,0)</f>
        <v>#DIV/0!</v>
      </c>
      <c r="E12" s="174" t="e">
        <f>HLOOKUP(E$1,ИНСТИТУТ!$CS$1:$EQ$27,$B12,0)</f>
        <v>#DIV/0!</v>
      </c>
      <c r="F12" s="781" t="e">
        <f>HLOOKUP(F$1,ИНСТИТУТ!$CS$1:$EQ$27,$B12,0)</f>
        <v>#DIV/0!</v>
      </c>
      <c r="G12" s="174" t="e">
        <f>HLOOKUP(G$1,ИНСТИТУТ!$CS$1:$EQ$27,$B12,0)</f>
        <v>#DIV/0!</v>
      </c>
      <c r="H12" s="175" t="e">
        <f>HLOOKUP(H$1,ИНСТИТУТ!$CS$1:$EQ$27,$B12,0)</f>
        <v>#DIV/0!</v>
      </c>
      <c r="I12" s="781" t="e">
        <f>HLOOKUP(I$1,ИНСТИТУТ!$CS$1:$EQ$27,$B12,0)</f>
        <v>#DIV/0!</v>
      </c>
      <c r="J12" s="781">
        <v>0</v>
      </c>
      <c r="K12" s="781">
        <v>0</v>
      </c>
      <c r="L12" s="493"/>
      <c r="M12" s="166" t="e">
        <f>HLOOKUP(M$1,ИНСТИТУТ!$CS$1:$EQ$27,$B12,0)</f>
        <v>#DIV/0!</v>
      </c>
      <c r="N12" s="174" t="e">
        <f>HLOOKUP(N$1,ИНСТИТУТ!$CS$1:$EQ$27,$B12,0)</f>
        <v>#DIV/0!</v>
      </c>
      <c r="O12" s="166" t="e">
        <f>HLOOKUP(O$1,ИНСТИТУТ!$CS$1:$EQ$27,$B12,0)</f>
        <v>#DIV/0!</v>
      </c>
      <c r="P12" s="174" t="e">
        <f>HLOOKUP(P$1,ИНСТИТУТ!$CS$1:$EQ$27,$B12,0)</f>
        <v>#DIV/0!</v>
      </c>
      <c r="Q12" s="174" t="e">
        <f>HLOOKUP(Q$1,ИНСТИТУТ!$CS$1:$EQ$27,$B12,0)</f>
        <v>#DIV/0!</v>
      </c>
      <c r="R12" s="175" t="e">
        <f>HLOOKUP(R$1,ИНСТИТУТ!$CS$1:$EQ$27,$B12,0)</f>
        <v>#DIV/0!</v>
      </c>
      <c r="S12" s="1913" t="e">
        <f>HLOOKUP(S$1,ИНСТИТУТ!$CS$1:$EQ$27,$B12,0)</f>
        <v>#DIV/0!</v>
      </c>
      <c r="T12" s="781">
        <v>0</v>
      </c>
      <c r="U12" s="781">
        <v>0</v>
      </c>
      <c r="V12" s="493"/>
      <c r="W12" s="175" t="e">
        <f>HLOOKUP(W$1,ИНСТИТУТ!$CS$1:$EQ$27,$B12,0)</f>
        <v>#DIV/0!</v>
      </c>
      <c r="X12" s="175" t="e">
        <f>HLOOKUP(X$1,ИНСТИТУТ!$CS$1:$EQ$27,$B12,0)</f>
        <v>#DIV/0!</v>
      </c>
      <c r="AA12" s="511" t="e">
        <f t="shared" si="0"/>
        <v>#DIV/0!</v>
      </c>
    </row>
    <row r="13" spans="1:27" ht="30" x14ac:dyDescent="0.3">
      <c r="A13" s="498" t="str">
        <f>HLOOKUP(A$1,ИНСТИТУТ!$CS$1:$EQ$27,$B13,0)</f>
        <v>Институт среднего профессионального образования</v>
      </c>
      <c r="B13" s="92">
        <v>26</v>
      </c>
      <c r="C13" s="166" t="e">
        <f>HLOOKUP(C$1,ИНСТИТУТ!$CS$1:$EQ$27,$B13,0)</f>
        <v>#DIV/0!</v>
      </c>
      <c r="D13" s="174" t="e">
        <f>HLOOKUP(D$1,ИНСТИТУТ!$CS$1:$EQ$27,$B13,0)</f>
        <v>#DIV/0!</v>
      </c>
      <c r="E13" s="174" t="e">
        <f>HLOOKUP(E$1,ИНСТИТУТ!$CS$1:$EQ$27,$B13,0)</f>
        <v>#DIV/0!</v>
      </c>
      <c r="F13" s="781" t="e">
        <f>HLOOKUP(F$1,ИНСТИТУТ!$CS$1:$EQ$27,$B13,0)</f>
        <v>#DIV/0!</v>
      </c>
      <c r="G13" s="174" t="e">
        <f>HLOOKUP(G$1,ИНСТИТУТ!$CS$1:$EQ$27,$B13,0)</f>
        <v>#DIV/0!</v>
      </c>
      <c r="H13" s="175" t="e">
        <f>HLOOKUP(H$1,ИНСТИТУТ!$CS$1:$EQ$27,$B13,0)</f>
        <v>#DIV/0!</v>
      </c>
      <c r="I13" s="781" t="e">
        <f>HLOOKUP(I$1,ИНСТИТУТ!$CS$1:$EQ$27,$B13,0)</f>
        <v>#DIV/0!</v>
      </c>
      <c r="J13" s="781">
        <v>0</v>
      </c>
      <c r="K13" s="781">
        <v>0</v>
      </c>
      <c r="L13" s="493"/>
      <c r="M13" s="166" t="e">
        <f>HLOOKUP(M$1,ИНСТИТУТ!$CS$1:$EQ$27,$B13,0)</f>
        <v>#DIV/0!</v>
      </c>
      <c r="N13" s="174" t="e">
        <f>HLOOKUP(N$1,ИНСТИТУТ!$CS$1:$EQ$27,$B13,0)</f>
        <v>#DIV/0!</v>
      </c>
      <c r="O13" s="166" t="e">
        <f>HLOOKUP(O$1,ИНСТИТУТ!$CS$1:$EQ$27,$B13,0)</f>
        <v>#DIV/0!</v>
      </c>
      <c r="P13" s="174" t="e">
        <f>HLOOKUP(P$1,ИНСТИТУТ!$CS$1:$EQ$27,$B13,0)</f>
        <v>#DIV/0!</v>
      </c>
      <c r="Q13" s="174" t="e">
        <f>HLOOKUP(Q$1,ИНСТИТУТ!$CS$1:$EQ$27,$B13,0)</f>
        <v>#DIV/0!</v>
      </c>
      <c r="R13" s="175" t="e">
        <f>HLOOKUP(R$1,ИНСТИТУТ!$CS$1:$EQ$27,$B13,0)</f>
        <v>#DIV/0!</v>
      </c>
      <c r="S13" s="1913" t="e">
        <f>HLOOKUP(S$1,ИНСТИТУТ!$CS$1:$EQ$27,$B13,0)</f>
        <v>#DIV/0!</v>
      </c>
      <c r="T13" s="781">
        <v>0</v>
      </c>
      <c r="U13" s="781">
        <v>0</v>
      </c>
      <c r="V13" s="493"/>
      <c r="W13" s="175" t="e">
        <f>HLOOKUP(W$1,ИНСТИТУТ!$CS$1:$EQ$27,$B13,0)</f>
        <v>#DIV/0!</v>
      </c>
      <c r="X13" s="175" t="e">
        <f>HLOOKUP(X$1,ИНСТИТУТ!$CS$1:$EQ$27,$B13,0)</f>
        <v>#DIV/0!</v>
      </c>
      <c r="Y13"/>
      <c r="Z13"/>
      <c r="AA13" s="511" t="e">
        <f t="shared" si="0"/>
        <v>#DIV/0!</v>
      </c>
    </row>
    <row r="14" spans="1:27" s="534" customFormat="1" ht="18.75" x14ac:dyDescent="0.3">
      <c r="A14" s="498" t="str">
        <f>HLOOKUP(A$1,ИНСТИТУТ!$CS$1:$EQ$27,$B14,0)</f>
        <v>Факультет иностранных студентов</v>
      </c>
      <c r="B14" s="92">
        <v>27</v>
      </c>
      <c r="C14" s="166" t="e">
        <f>HLOOKUP(C$1,ИНСТИТУТ!$CS$1:$EQ$27,$B14,0)</f>
        <v>#DIV/0!</v>
      </c>
      <c r="D14" s="174" t="e">
        <f>HLOOKUP(D$1,ИНСТИТУТ!$CS$1:$EQ$27,$B14,0)</f>
        <v>#DIV/0!</v>
      </c>
      <c r="E14" s="174" t="e">
        <f>HLOOKUP(E$1,ИНСТИТУТ!$CS$1:$EQ$27,$B14,0)</f>
        <v>#DIV/0!</v>
      </c>
      <c r="F14" s="174" t="e">
        <f>HLOOKUP(F$1,ИНСТИТУТ!$CS$1:$EQ$27,$B14,0)</f>
        <v>#DIV/0!</v>
      </c>
      <c r="G14" s="174" t="e">
        <f>HLOOKUP(G$1,ИНСТИТУТ!$CS$1:$EQ$27,$B14,0)</f>
        <v>#DIV/0!</v>
      </c>
      <c r="H14" s="175" t="e">
        <f>HLOOKUP(H$1,ИНСТИТУТ!$CS$1:$EQ$27,$B14,0)</f>
        <v>#DIV/0!</v>
      </c>
      <c r="I14" s="781" t="e">
        <f>HLOOKUP(I$1,ИНСТИТУТ!$CS$1:$EQ$27,$B14,0)</f>
        <v>#DIV/0!</v>
      </c>
      <c r="J14" s="781">
        <v>0</v>
      </c>
      <c r="K14" s="781">
        <v>0</v>
      </c>
      <c r="L14" s="493"/>
      <c r="M14" s="166" t="e">
        <f>HLOOKUP(M$1,ИНСТИТУТ!$CS$1:$EQ$27,$B14,0)</f>
        <v>#DIV/0!</v>
      </c>
      <c r="N14" s="174" t="e">
        <f>HLOOKUP(N$1,ИНСТИТУТ!$CS$1:$EQ$27,$B14,0)</f>
        <v>#DIV/0!</v>
      </c>
      <c r="O14" s="166" t="e">
        <f>HLOOKUP(O$1,ИНСТИТУТ!$CS$1:$EQ$27,$B14,0)</f>
        <v>#DIV/0!</v>
      </c>
      <c r="P14" s="174" t="e">
        <f>HLOOKUP(P$1,ИНСТИТУТ!$CS$1:$EQ$27,$B14,0)</f>
        <v>#DIV/0!</v>
      </c>
      <c r="Q14" s="174" t="e">
        <f>HLOOKUP(Q$1,ИНСТИТУТ!$CS$1:$EQ$27,$B14,0)</f>
        <v>#DIV/0!</v>
      </c>
      <c r="R14" s="175" t="e">
        <f>HLOOKUP(R$1,ИНСТИТУТ!$CS$1:$EQ$27,$B14,0)</f>
        <v>#DIV/0!</v>
      </c>
      <c r="S14" s="1913" t="e">
        <f>HLOOKUP(S$1,ИНСТИТУТ!$CS$1:$EQ$27,$B14,0)</f>
        <v>#DIV/0!</v>
      </c>
      <c r="T14" s="781">
        <v>0</v>
      </c>
      <c r="U14" s="781">
        <v>0</v>
      </c>
      <c r="V14" s="493"/>
      <c r="W14" s="175" t="e">
        <f>HLOOKUP(W$1,ИНСТИТУТ!$CS$1:$EQ$27,$B14,0)</f>
        <v>#DIV/0!</v>
      </c>
      <c r="X14" s="175" t="e">
        <f>HLOOKUP(X$1,ИНСТИТУТ!$CS$1:$EQ$27,$B14,0)</f>
        <v>#DIV/0!</v>
      </c>
      <c r="AA14" s="511"/>
    </row>
    <row r="15" spans="1:27" s="3" customFormat="1" x14ac:dyDescent="0.25">
      <c r="A15" s="66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46"/>
      <c r="M15" s="34"/>
      <c r="N15" s="34"/>
      <c r="O15" s="34"/>
      <c r="P15" s="34"/>
      <c r="Q15" s="34"/>
      <c r="R15" s="34"/>
      <c r="S15" s="34"/>
      <c r="T15" s="34"/>
      <c r="U15" s="34"/>
      <c r="V15" s="46"/>
      <c r="W15" s="34"/>
      <c r="X15" s="34"/>
    </row>
    <row r="16" spans="1:27" ht="111.75" customHeight="1" x14ac:dyDescent="0.25">
      <c r="A16"/>
      <c r="B16" s="51">
        <v>9</v>
      </c>
      <c r="C16" s="51" t="str">
        <f>HLOOKUP(C$1,'ИНСТИТУТ (СУММА КАФЕДР)'!$CF$1:$DZ$25,$B16,0)</f>
        <v>факт</v>
      </c>
      <c r="D16" s="51" t="str">
        <f>HLOOKUP(D$1,'ИНСТИТУТ (СУММА КАФЕДР)'!$CF$1:$DZ$25,$B16,0)</f>
        <v>факт</v>
      </c>
      <c r="E16" s="172" t="str">
        <f>HLOOKUP(E$1,'ИНСТИТУТ (СУММА КАФЕДР)'!$CF$1:$DZ$25,$B16,0)</f>
        <v>факт</v>
      </c>
      <c r="F16" s="51" t="str">
        <f>HLOOKUP(F$1,'ИНСТИТУТ (СУММА КАФЕДР)'!$CF$1:$DZ$25,$B16,0)</f>
        <v>факт</v>
      </c>
      <c r="G16" s="51" t="str">
        <f>HLOOKUP(G$1,'ИНСТИТУТ (СУММА КАФЕДР)'!$CF$1:$DZ$25,$B16,0)</f>
        <v>факт</v>
      </c>
      <c r="H16" s="51" t="str">
        <f>HLOOKUP(H$1,'ИНСТИТУТ (СУММА КАФЕДР)'!$CF$1:$DZ$25,$B16,0)</f>
        <v>факт</v>
      </c>
      <c r="I16" s="51" t="str">
        <f>HLOOKUP(I$1,'ИНСТИТУТ (СУММА КАФЕДР)'!$CF$1:$DZ$25,$B16,0)</f>
        <v>факт</v>
      </c>
      <c r="J16" s="51" t="str">
        <f>HLOOKUP(J$1,'«ВУЗ-РЕГИОН»(кафедры)'!W1:Y27,13,0)</f>
        <v>факт</v>
      </c>
      <c r="K16" s="51" t="str">
        <f>HLOOKUP(K$1,' "Вуз зож" (кафедры)'!S1:U27,13,0)</f>
        <v>факт</v>
      </c>
      <c r="L16" s="491"/>
      <c r="M16" s="51" t="str">
        <f>HLOOKUP(M$1,'ИНСТИТУТ (СУММА КАФЕДР)'!$CF$1:$DZ$25,$B16,0)</f>
        <v>максимум возможный</v>
      </c>
      <c r="N16" s="51" t="str">
        <f>HLOOKUP(N$1,'ИНСТИТУТ (СУММА КАФЕДР)'!$CF$1:$DZ$25,$B16,0)</f>
        <v>максимум возможный</v>
      </c>
      <c r="O16" s="51" t="str">
        <f>HLOOKUP(O$1,'ИНСТИТУТ (СУММА КАФЕДР)'!$CF$1:$DZ$25,$B16,0)</f>
        <v>максимум возможный</v>
      </c>
      <c r="P16" s="51" t="str">
        <f>HLOOKUP(P$1,'ИНСТИТУТ (СУММА КАФЕДР)'!$CF$1:$DZ$25,$B16,0)</f>
        <v>максимум возможный</v>
      </c>
      <c r="Q16" s="51" t="str">
        <f>HLOOKUP(Q$1,'ИНСТИТУТ (СУММА КАФЕДР)'!$CF$1:$DZ$25,$B16,0)</f>
        <v>максимум возможный</v>
      </c>
      <c r="R16" s="51" t="str">
        <f>HLOOKUP(R$1,'ИНСТИТУТ (СУММА КАФЕДР)'!$CF$1:$DZ$25,$B16,0)</f>
        <v>максимум возможный</v>
      </c>
      <c r="S16" s="51" t="str">
        <f>HLOOKUP(S$1,'ИНСТИТУТ (СУММА КАФЕДР)'!$CF$1:$DZ$25,$B16,0)</f>
        <v>максимум возможный</v>
      </c>
      <c r="T16" s="51" t="str">
        <f>HLOOKUP(T$1,'«ВУЗ-РЕГИОН»(кафедры)'!W1:Y27,13,0)</f>
        <v>максимум возможный</v>
      </c>
      <c r="U16" s="51" t="str">
        <f>HLOOKUP(U$1,' "Вуз зож" (кафедры)'!S1:U27,13,0)</f>
        <v>максимум возможный</v>
      </c>
      <c r="V16" s="491"/>
      <c r="W16" s="51" t="str">
        <f>HLOOKUP(W$1,'ИНСТИТУТ (СУММА КАФЕДР)'!$CF$1:$DZ$25,$B16,0)</f>
        <v>сДПО</v>
      </c>
      <c r="X16" s="51" t="str">
        <f>HLOOKUP(X$1,'ИНСТИТУТ (СУММА КАФЕДР)'!$CF$1:$DZ$25,$B16,0)</f>
        <v>сДПО</v>
      </c>
    </row>
    <row r="17" spans="1:30" ht="111" customHeight="1" x14ac:dyDescent="0.25">
      <c r="A17" s="169" t="s">
        <v>191</v>
      </c>
      <c r="B17" s="51">
        <v>10</v>
      </c>
      <c r="C17" s="51" t="str">
        <f>HLOOKUP(C$1,'ИНСТИТУТ (СУММА КАФЕДР)'!$CF$1:$DZ$25,$B17,0)</f>
        <v>УМД</v>
      </c>
      <c r="D17" s="51" t="str">
        <f>HLOOKUP(D$1,'ИНСТИТУТ (СУММА КАФЕДР)'!$CF$1:$DZ$25,$B17,0)</f>
        <v>ДПО</v>
      </c>
      <c r="E17" s="172" t="str">
        <f>HLOOKUP(E$1,'ИНСТИТУТ (СУММА КАФЕДР)'!$CF$1:$DZ$25,$B17,0)</f>
        <v>УМД без ДПО</v>
      </c>
      <c r="F17" s="51" t="str">
        <f>HLOOKUP(F$1,'ИНСТИТУТ (СУММА КАФЕДР)'!$CF$1:$DZ$25,$B17,0)</f>
        <v>Наука</v>
      </c>
      <c r="G17" s="51" t="str">
        <f>HLOOKUP(G$1,'ИНСТИТУТ (СУММА КАФЕДР)'!$CF$1:$DZ$25,$B17,0)</f>
        <v>Профориентация и ВД</v>
      </c>
      <c r="H17" s="51" t="str">
        <f>HLOOKUP(H$1,'ИНСТИТУТ (СУММА КАФЕДР)'!$CF$1:$DZ$25,$B17,0)</f>
        <v>Экономика</v>
      </c>
      <c r="I17" s="51" t="str">
        <f>HLOOKUP(I$1,'ИНСТИТУТ (СУММА КАФЕДР)'!$CF$1:$DZ$25,$B17,0)</f>
        <v>Кадры</v>
      </c>
      <c r="J17" s="51" t="s">
        <v>493</v>
      </c>
      <c r="K17" s="51" t="s">
        <v>494</v>
      </c>
      <c r="L17" s="491"/>
      <c r="M17" s="51" t="str">
        <f>HLOOKUP(M$1,'ИНСТИТУТ (СУММА КАФЕДР)'!$CF$1:$DZ$25,$B17,0)</f>
        <v>УМД</v>
      </c>
      <c r="N17" s="51" t="str">
        <f>HLOOKUP(N$1,'ИНСТИТУТ (СУММА КАФЕДР)'!$CF$1:$DZ$25,$B17,0)</f>
        <v>ДПО</v>
      </c>
      <c r="O17" s="51" t="str">
        <f>HLOOKUP(O$1,'ИНСТИТУТ (СУММА КАФЕДР)'!$CF$1:$DZ$25,$B17,0)</f>
        <v>УМД без ДПО</v>
      </c>
      <c r="P17" s="51" t="str">
        <f>HLOOKUP(P$1,'ИНСТИТУТ (СУММА КАФЕДР)'!$CF$1:$DZ$25,$B17,0)</f>
        <v>Наука</v>
      </c>
      <c r="Q17" s="51" t="str">
        <f>HLOOKUP(Q$1,'ИНСТИТУТ (СУММА КАФЕДР)'!$CF$1:$DZ$25,$B17,0)</f>
        <v>Профориентация и ВД</v>
      </c>
      <c r="R17" s="51" t="str">
        <f>HLOOKUP(R$1,'ИНСТИТУТ (СУММА КАФЕДР)'!$CF$1:$DZ$25,$B17,0)</f>
        <v>Экономика</v>
      </c>
      <c r="S17" s="51" t="str">
        <f>HLOOKUP(S$1,'ИНСТИТУТ (СУММА КАФЕДР)'!$CF$1:$DZ$25,$B17,0)</f>
        <v>Кадры</v>
      </c>
      <c r="T17" s="51" t="s">
        <v>493</v>
      </c>
      <c r="U17" s="51" t="s">
        <v>494</v>
      </c>
      <c r="V17" s="491"/>
      <c r="W17" s="51" t="str">
        <f>HLOOKUP(W$1,'ИНСТИТУТ (СУММА КАФЕДР)'!$CF$1:$DZ$25,$B17,0)</f>
        <v>факт с ДПО</v>
      </c>
      <c r="X17" s="51" t="str">
        <f>HLOOKUP(X$1,'ИНСТИТУТ (СУММА КАФЕДР)'!$CF$1:$DZ$25,$B17,0)</f>
        <v>максимум возможный</v>
      </c>
    </row>
    <row r="18" spans="1:30" ht="87" customHeight="1" x14ac:dyDescent="0.25">
      <c r="C18" s="79">
        <v>70</v>
      </c>
      <c r="D18" s="146">
        <f t="shared" ref="D18:G18" si="1">100-D5</f>
        <v>100</v>
      </c>
      <c r="E18" s="173">
        <v>70</v>
      </c>
      <c r="F18" s="146">
        <f t="shared" si="1"/>
        <v>100</v>
      </c>
      <c r="G18" s="146">
        <f t="shared" si="1"/>
        <v>100</v>
      </c>
      <c r="H18" s="146">
        <v>70</v>
      </c>
      <c r="I18" s="79">
        <v>70</v>
      </c>
      <c r="J18" s="79">
        <v>100</v>
      </c>
      <c r="K18" s="79">
        <v>100</v>
      </c>
      <c r="L18" s="492"/>
      <c r="M18" s="146"/>
      <c r="N18" s="146"/>
      <c r="O18" s="146"/>
      <c r="P18" s="146"/>
      <c r="Q18" s="146"/>
      <c r="R18" s="146"/>
      <c r="S18" s="146"/>
      <c r="T18" s="146"/>
      <c r="U18" s="146"/>
      <c r="W18" s="79">
        <v>70</v>
      </c>
      <c r="AB18" s="223" t="s">
        <v>341</v>
      </c>
      <c r="AC18" s="223" t="s">
        <v>340</v>
      </c>
      <c r="AD18" s="223" t="s">
        <v>292</v>
      </c>
    </row>
    <row r="19" spans="1:30" ht="18.75" x14ac:dyDescent="0.3">
      <c r="A19" s="547" t="str">
        <f>HLOOKUP(A$1,ИНСТИТУТ!$CS$1:$EQ$27,$B19,0)</f>
        <v>сумма по кафедрам</v>
      </c>
      <c r="B19" s="92">
        <v>19</v>
      </c>
      <c r="C19" s="175" t="e">
        <f>HLOOKUP(C$1,'ИНСТИТУТ (СУММА КАФЕДР)'!$CF$1:$DZ$27,$B19,0)</f>
        <v>#DIV/0!</v>
      </c>
      <c r="D19" s="175" t="e">
        <f>HLOOKUP(D$1,'ИНСТИТУТ (СУММА КАФЕДР)'!$CF$1:$DZ$27,$B19,0)</f>
        <v>#DIV/0!</v>
      </c>
      <c r="E19" s="1913" t="e">
        <f>HLOOKUP(E$1,'ИНСТИТУТ (СУММА КАФЕДР)'!$CF$1:$DZ$27,$B19,0)</f>
        <v>#DIV/0!</v>
      </c>
      <c r="F19" s="175">
        <f>HLOOKUP(F$1,'ИНСТИТУТ (СУММА КАФЕДР)'!$CF$1:$DZ$27,$B19,0)</f>
        <v>0</v>
      </c>
      <c r="G19" s="175" t="e">
        <f>HLOOKUP(G$1,'ИНСТИТУТ (СУММА КАФЕДР)'!$CF$1:$DZ$27,$B19,0)</f>
        <v>#DIV/0!</v>
      </c>
      <c r="H19" s="175" t="e">
        <f>HLOOKUP(H$1,'ИНСТИТУТ (СУММА КАФЕДР)'!$CF$1:$DZ$27,$B19,0)</f>
        <v>#DIV/0!</v>
      </c>
      <c r="I19" s="175" t="e">
        <f>HLOOKUP(I$1,'ИНСТИТУТ (СУММА КАФЕДР)'!$CF$1:$DZ$27,$B19,0)</f>
        <v>#DIV/0!</v>
      </c>
      <c r="J19" s="1913" t="e">
        <f>HLOOKUP(J$1,'«ВУЗ-РЕГИОН»(кафедры)'!$W$1:$Y$27,$B19,0)</f>
        <v>#REF!</v>
      </c>
      <c r="K19" s="1913">
        <f>HLOOKUP(K$1,' "Вуз зож" (кафедры)'!$S$1:$U$27,$B19,0)</f>
        <v>0</v>
      </c>
      <c r="L19" s="493"/>
      <c r="M19" s="175" t="e">
        <f>HLOOKUP(M$1,'ИНСТИТУТ (СУММА КАФЕДР)'!$CF$1:$DZ$27,$B19,0)</f>
        <v>#DIV/0!</v>
      </c>
      <c r="N19" s="175" t="e">
        <f>HLOOKUP(N$1,'ИНСТИТУТ (СУММА КАФЕДР)'!$CF$1:$DZ$27,$B19,0)</f>
        <v>#DIV/0!</v>
      </c>
      <c r="O19" s="175" t="e">
        <f>HLOOKUP(O$1,'ИНСТИТУТ (СУММА КАФЕДР)'!$CF$1:$DZ$27,$B19,0)</f>
        <v>#DIV/0!</v>
      </c>
      <c r="P19" s="175">
        <f>HLOOKUP(P$1,'ИНСТИТУТ (СУММА КАФЕДР)'!$CF$1:$DZ$27,$B19,0)</f>
        <v>23</v>
      </c>
      <c r="Q19" s="175" t="e">
        <f>HLOOKUP(Q$1,'ИНСТИТУТ (СУММА КАФЕДР)'!$CF$1:$DZ$27,$B19,0)</f>
        <v>#DIV/0!</v>
      </c>
      <c r="R19" s="175" t="e">
        <f>HLOOKUP(R$1,'ИНСТИТУТ (СУММА КАФЕДР)'!$CF$1:$DZ$27,$B19,0)</f>
        <v>#DIV/0!</v>
      </c>
      <c r="S19" s="175" t="e">
        <f>HLOOKUP(S$1,'ИНСТИТУТ (СУММА КАФЕДР)'!$CF$1:$DZ$27,$B19,0)</f>
        <v>#DIV/0!</v>
      </c>
      <c r="T19" s="1913">
        <v>0</v>
      </c>
      <c r="U19" s="1913">
        <v>0</v>
      </c>
      <c r="V19" s="493"/>
      <c r="W19" s="175" t="e">
        <f>HLOOKUP(W$1,'ИНСТИТУТ (СУММА КАФЕДР)'!$CF$1:$DZ$27,$B19,0)</f>
        <v>#DIV/0!</v>
      </c>
      <c r="X19" s="175" t="e">
        <f>HLOOKUP(X$1,'ИНСТИТУТ (СУММА КАФЕДР)'!$CF$1:$DZ$27,$B19,0)</f>
        <v>#DIV/0!</v>
      </c>
      <c r="Z19" s="165">
        <f>HLOOKUP(Z$1,ИНСТИТУТ!$DS$1:$EQ$27,$B19,0)</f>
        <v>0</v>
      </c>
      <c r="AA19" s="511" t="e">
        <f>W19/X19*100</f>
        <v>#DIV/0!</v>
      </c>
      <c r="AB19" t="s">
        <v>191</v>
      </c>
    </row>
    <row r="20" spans="1:30" ht="18.75" x14ac:dyDescent="0.3">
      <c r="A20" s="223" t="str">
        <f>HLOOKUP(A$1,ИНСТИТУТ!$CS$1:$EQ$27,$B20,0)</f>
        <v>Институт клинической медицины</v>
      </c>
      <c r="B20" s="92">
        <v>20</v>
      </c>
      <c r="C20" s="175" t="e">
        <f>HLOOKUP(C$1,'ИНСТИТУТ (СУММА КАФЕДР)'!$CF$1:$DZ$27,$B20,0)</f>
        <v>#DIV/0!</v>
      </c>
      <c r="D20" s="175" t="e">
        <f>HLOOKUP(D$1,'ИНСТИТУТ (СУММА КАФЕДР)'!$CF$1:$DZ$27,$B20,0)</f>
        <v>#DIV/0!</v>
      </c>
      <c r="E20" s="1913" t="e">
        <f>HLOOKUP(E$1,'ИНСТИТУТ (СУММА КАФЕДР)'!$CF$1:$DZ$27,$B20,0)</f>
        <v>#DIV/0!</v>
      </c>
      <c r="F20" s="175">
        <f>HLOOKUP(F$1,'ИНСТИТУТ (СУММА КАФЕДР)'!$CF$1:$DZ$27,$B20,0)</f>
        <v>0</v>
      </c>
      <c r="G20" s="175" t="e">
        <f>HLOOKUP(G$1,'ИНСТИТУТ (СУММА КАФЕДР)'!$CF$1:$DZ$27,$B20,0)</f>
        <v>#DIV/0!</v>
      </c>
      <c r="H20" s="175" t="e">
        <f>HLOOKUP(H$1,'ИНСТИТУТ (СУММА КАФЕДР)'!$CF$1:$DZ$27,$B20,0)</f>
        <v>#DIV/0!</v>
      </c>
      <c r="I20" s="175" t="e">
        <f>HLOOKUP(I$1,'ИНСТИТУТ (СУММА КАФЕДР)'!$CF$1:$DZ$27,$B20,0)</f>
        <v>#DIV/0!</v>
      </c>
      <c r="J20" s="1913" t="e">
        <f>HLOOKUP(J$1,'«ВУЗ-РЕГИОН»(кафедры)'!$W$1:$Y$27,$B20,0)</f>
        <v>#REF!</v>
      </c>
      <c r="K20" s="1913">
        <f>HLOOKUP(K$1,' "Вуз зож" (кафедры)'!$S$1:$U$27,$B20,0)</f>
        <v>0</v>
      </c>
      <c r="L20" s="493"/>
      <c r="M20" s="175" t="e">
        <f>HLOOKUP(M$1,'ИНСТИТУТ (СУММА КАФЕДР)'!$CF$1:$DZ$27,$B20,0)</f>
        <v>#DIV/0!</v>
      </c>
      <c r="N20" s="175" t="e">
        <f>HLOOKUP(N$1,'ИНСТИТУТ (СУММА КАФЕДР)'!$CF$1:$DZ$27,$B20,0)</f>
        <v>#DIV/0!</v>
      </c>
      <c r="O20" s="175" t="e">
        <f>HLOOKUP(O$1,'ИНСТИТУТ (СУММА КАФЕДР)'!$CF$1:$DZ$27,$B20,0)</f>
        <v>#DIV/0!</v>
      </c>
      <c r="P20" s="175">
        <f>HLOOKUP(P$1,'ИНСТИТУТ (СУММА КАФЕДР)'!$CF$1:$DZ$27,$B20,0)</f>
        <v>23</v>
      </c>
      <c r="Q20" s="175" t="e">
        <f>HLOOKUP(Q$1,'ИНСТИТУТ (СУММА КАФЕДР)'!$CF$1:$DZ$27,$B20,0)</f>
        <v>#DIV/0!</v>
      </c>
      <c r="R20" s="175" t="e">
        <f>HLOOKUP(R$1,'ИНСТИТУТ (СУММА КАФЕДР)'!$CF$1:$DZ$27,$B20,0)</f>
        <v>#DIV/0!</v>
      </c>
      <c r="S20" s="175" t="e">
        <f>HLOOKUP(S$1,'ИНСТИТУТ (СУММА КАФЕДР)'!$CF$1:$DZ$27,$B20,0)</f>
        <v>#DIV/0!</v>
      </c>
      <c r="T20" s="1913">
        <f>HLOOKUP(T$1,'«ВУЗ-РЕГИОН»(кафедры)'!$W$1:$Y$27,$B20,0)</f>
        <v>15</v>
      </c>
      <c r="U20" s="1913">
        <f>HLOOKUP(U$1,' "Вуз зож" (кафедры)'!$S$1:$U$27,$B20,0)</f>
        <v>7</v>
      </c>
      <c r="V20" s="493"/>
      <c r="W20" s="175" t="e">
        <f>HLOOKUP(W$1,'ИНСТИТУТ (СУММА КАФЕДР)'!$CF$1:$DZ$27,$B20,0)</f>
        <v>#DIV/0!</v>
      </c>
      <c r="X20" s="175" t="e">
        <f>HLOOKUP(X$1,'ИНСТИТУТ (СУММА КАФЕДР)'!$CF$1:$DZ$27,$B20,0)</f>
        <v>#DIV/0!</v>
      </c>
      <c r="Z20" s="31" t="str">
        <f>HLOOKUP(Z$1,ИНСТИТУТ!$DS$1:$EQ$27,$B20,0)</f>
        <v>КМЕДИЦИНЫ</v>
      </c>
      <c r="AA20" s="511" t="e">
        <f t="shared" ref="AA20:AA27" si="2">W20/X20*100</f>
        <v>#DIV/0!</v>
      </c>
      <c r="AB20" s="504">
        <f>SUM('ИНСТИТУТ (КАФЕДРЫ)'!M58:M74)/COUNT('ИНСТИТУТ (КАФЕДРЫ)'!B58:B74)</f>
        <v>3</v>
      </c>
      <c r="AC20" s="504">
        <f>SUM('ИНСТИТУТ (КАФЕДРЫ)'!N58:N74)/COUNT('ИНСТИТУТ (КАФЕДРЫ)'!B58:B74)</f>
        <v>0</v>
      </c>
      <c r="AD20" s="504" t="e">
        <f>AA20+AB20+AC20</f>
        <v>#DIV/0!</v>
      </c>
    </row>
    <row r="21" spans="1:30" ht="18.75" x14ac:dyDescent="0.3">
      <c r="A21" s="223" t="str">
        <f>HLOOKUP(A$1,ИНСТИТУТ!$CS$1:$EQ$27,$B21,0)</f>
        <v>Институт педиатрии</v>
      </c>
      <c r="B21" s="92">
        <v>21</v>
      </c>
      <c r="C21" s="175" t="e">
        <f>HLOOKUP(C$1,'ИНСТИТУТ (СУММА КАФЕДР)'!$CF$1:$DZ$27,$B21,0)</f>
        <v>#DIV/0!</v>
      </c>
      <c r="D21" s="175" t="e">
        <f>HLOOKUP(D$1,'ИНСТИТУТ (СУММА КАФЕДР)'!$CF$1:$DZ$27,$B21,0)</f>
        <v>#DIV/0!</v>
      </c>
      <c r="E21" s="1913" t="e">
        <f>HLOOKUP(E$1,'ИНСТИТУТ (СУММА КАФЕДР)'!$CF$1:$DZ$27,$B21,0)</f>
        <v>#DIV/0!</v>
      </c>
      <c r="F21" s="175">
        <f>HLOOKUP(F$1,'ИНСТИТУТ (СУММА КАФЕДР)'!$CF$1:$DZ$27,$B21,0)</f>
        <v>0</v>
      </c>
      <c r="G21" s="175" t="e">
        <f>HLOOKUP(G$1,'ИНСТИТУТ (СУММА КАФЕДР)'!$CF$1:$DZ$27,$B21,0)</f>
        <v>#DIV/0!</v>
      </c>
      <c r="H21" s="175" t="e">
        <f>HLOOKUP(H$1,'ИНСТИТУТ (СУММА КАФЕДР)'!$CF$1:$DZ$27,$B21,0)</f>
        <v>#DIV/0!</v>
      </c>
      <c r="I21" s="175" t="e">
        <f>HLOOKUP(I$1,'ИНСТИТУТ (СУММА КАФЕДР)'!$CF$1:$DZ$27,$B21,0)</f>
        <v>#DIV/0!</v>
      </c>
      <c r="J21" s="1913" t="e">
        <f>HLOOKUP(J$1,'«ВУЗ-РЕГИОН»(кафедры)'!$W$1:$Y$27,$B21,0)</f>
        <v>#REF!</v>
      </c>
      <c r="K21" s="1913">
        <f>HLOOKUP(K$1,' "Вуз зож" (кафедры)'!$S$1:$U$27,$B21,0)</f>
        <v>0</v>
      </c>
      <c r="L21" s="493"/>
      <c r="M21" s="175" t="e">
        <f>HLOOKUP(M$1,'ИНСТИТУТ (СУММА КАФЕДР)'!$CF$1:$DZ$27,$B21,0)</f>
        <v>#DIV/0!</v>
      </c>
      <c r="N21" s="175" t="e">
        <f>HLOOKUP(N$1,'ИНСТИТУТ (СУММА КАФЕДР)'!$CF$1:$DZ$27,$B21,0)</f>
        <v>#DIV/0!</v>
      </c>
      <c r="O21" s="175" t="e">
        <f>HLOOKUP(O$1,'ИНСТИТУТ (СУММА КАФЕДР)'!$CF$1:$DZ$27,$B21,0)</f>
        <v>#DIV/0!</v>
      </c>
      <c r="P21" s="175">
        <f>HLOOKUP(P$1,'ИНСТИТУТ (СУММА КАФЕДР)'!$CF$1:$DZ$27,$B21,0)</f>
        <v>23</v>
      </c>
      <c r="Q21" s="175" t="e">
        <f>HLOOKUP(Q$1,'ИНСТИТУТ (СУММА КАФЕДР)'!$CF$1:$DZ$27,$B21,0)</f>
        <v>#DIV/0!</v>
      </c>
      <c r="R21" s="175" t="e">
        <f>HLOOKUP(R$1,'ИНСТИТУТ (СУММА КАФЕДР)'!$CF$1:$DZ$27,$B21,0)</f>
        <v>#DIV/0!</v>
      </c>
      <c r="S21" s="175" t="e">
        <f>HLOOKUP(S$1,'ИНСТИТУТ (СУММА КАФЕДР)'!$CF$1:$DZ$27,$B21,0)</f>
        <v>#DIV/0!</v>
      </c>
      <c r="T21" s="1913">
        <f>HLOOKUP(T$1,'«ВУЗ-РЕГИОН»(кафедры)'!$W$1:$Y$27,$B21,0)</f>
        <v>15</v>
      </c>
      <c r="U21" s="1913">
        <f>HLOOKUP(U$1,' "Вуз зож" (кафедры)'!$S$1:$U$27,$B21,0)</f>
        <v>7</v>
      </c>
      <c r="V21" s="493"/>
      <c r="W21" s="175" t="e">
        <f>HLOOKUP(W$1,'ИНСТИТУТ (СУММА КАФЕДР)'!$CF$1:$DZ$27,$B21,0)</f>
        <v>#DIV/0!</v>
      </c>
      <c r="X21" s="175" t="e">
        <f>HLOOKUP(X$1,'ИНСТИТУТ (СУММА КАФЕДР)'!$CF$1:$DZ$27,$B21,0)</f>
        <v>#DIV/0!</v>
      </c>
      <c r="Z21" s="31" t="str">
        <f>HLOOKUP(Z$1,ИНСТИТУТ!$DS$1:$EQ$27,$B21,0)</f>
        <v>ПЕДИАТРИИ</v>
      </c>
      <c r="AA21" s="511" t="e">
        <f t="shared" si="2"/>
        <v>#DIV/0!</v>
      </c>
      <c r="AB21" s="504">
        <f>SUM('ИНСТИТУТ (КАФЕДРЫ)'!M75:M85)/COUNT('ИНСТИТУТ (КАФЕДРЫ)'!B75:B85)</f>
        <v>1.3636363636363635</v>
      </c>
      <c r="AC21" s="504">
        <f>SUM('ИНСТИТУТ (КАФЕДРЫ)'!N75:N85)/COUNT('ИНСТИТУТ (КАФЕДРЫ)'!B75:B85)</f>
        <v>0</v>
      </c>
      <c r="AD21" s="504" t="e">
        <f t="shared" ref="AD21:AD27" si="3">AA21+AB21+AC21</f>
        <v>#DIV/0!</v>
      </c>
    </row>
    <row r="22" spans="1:30" ht="18.75" x14ac:dyDescent="0.3">
      <c r="A22" s="223" t="str">
        <f>HLOOKUP(A$1,ИНСТИТУТ!$CS$1:$EQ$27,$B22,0)</f>
        <v>Институт стоматологии</v>
      </c>
      <c r="B22" s="92">
        <v>22</v>
      </c>
      <c r="C22" s="175" t="e">
        <f>HLOOKUP(C$1,'ИНСТИТУТ (СУММА КАФЕДР)'!$CF$1:$DZ$27,$B22,0)</f>
        <v>#DIV/0!</v>
      </c>
      <c r="D22" s="175" t="e">
        <f>HLOOKUP(D$1,'ИНСТИТУТ (СУММА КАФЕДР)'!$CF$1:$DZ$27,$B22,0)</f>
        <v>#DIV/0!</v>
      </c>
      <c r="E22" s="1913" t="e">
        <f>HLOOKUP(E$1,'ИНСТИТУТ (СУММА КАФЕДР)'!$CF$1:$DZ$27,$B22,0)</f>
        <v>#DIV/0!</v>
      </c>
      <c r="F22" s="175">
        <f>HLOOKUP(F$1,'ИНСТИТУТ (СУММА КАФЕДР)'!$CF$1:$DZ$27,$B22,0)</f>
        <v>0</v>
      </c>
      <c r="G22" s="175" t="e">
        <f>HLOOKUP(G$1,'ИНСТИТУТ (СУММА КАФЕДР)'!$CF$1:$DZ$27,$B22,0)</f>
        <v>#DIV/0!</v>
      </c>
      <c r="H22" s="175" t="e">
        <f>HLOOKUP(H$1,'ИНСТИТУТ (СУММА КАФЕДР)'!$CF$1:$DZ$27,$B22,0)</f>
        <v>#DIV/0!</v>
      </c>
      <c r="I22" s="175" t="e">
        <f>HLOOKUP(I$1,'ИНСТИТУТ (СУММА КАФЕДР)'!$CF$1:$DZ$27,$B22,0)</f>
        <v>#DIV/0!</v>
      </c>
      <c r="J22" s="1913" t="e">
        <f>HLOOKUP(J$1,'«ВУЗ-РЕГИОН»(кафедры)'!$W$1:$Y$27,$B22,0)</f>
        <v>#REF!</v>
      </c>
      <c r="K22" s="1913">
        <f>HLOOKUP(K$1,' "Вуз зож" (кафедры)'!$S$1:$U$27,$B22,0)</f>
        <v>0</v>
      </c>
      <c r="L22" s="493"/>
      <c r="M22" s="175" t="e">
        <f>HLOOKUP(M$1,'ИНСТИТУТ (СУММА КАФЕДР)'!$CF$1:$DZ$27,$B22,0)</f>
        <v>#DIV/0!</v>
      </c>
      <c r="N22" s="175" t="e">
        <f>HLOOKUP(N$1,'ИНСТИТУТ (СУММА КАФЕДР)'!$CF$1:$DZ$27,$B22,0)</f>
        <v>#DIV/0!</v>
      </c>
      <c r="O22" s="175" t="e">
        <f>HLOOKUP(O$1,'ИНСТИТУТ (СУММА КАФЕДР)'!$CF$1:$DZ$27,$B22,0)</f>
        <v>#DIV/0!</v>
      </c>
      <c r="P22" s="175">
        <f>HLOOKUP(P$1,'ИНСТИТУТ (СУММА КАФЕДР)'!$CF$1:$DZ$27,$B22,0)</f>
        <v>23</v>
      </c>
      <c r="Q22" s="175" t="e">
        <f>HLOOKUP(Q$1,'ИНСТИТУТ (СУММА КАФЕДР)'!$CF$1:$DZ$27,$B22,0)</f>
        <v>#DIV/0!</v>
      </c>
      <c r="R22" s="175" t="e">
        <f>HLOOKUP(R$1,'ИНСТИТУТ (СУММА КАФЕДР)'!$CF$1:$DZ$27,$B22,0)</f>
        <v>#DIV/0!</v>
      </c>
      <c r="S22" s="175" t="e">
        <f>HLOOKUP(S$1,'ИНСТИТУТ (СУММА КАФЕДР)'!$CF$1:$DZ$27,$B22,0)</f>
        <v>#DIV/0!</v>
      </c>
      <c r="T22" s="1913">
        <f>HLOOKUP(T$1,'«ВУЗ-РЕГИОН»(кафедры)'!$W$1:$Y$27,$B22,0)</f>
        <v>15</v>
      </c>
      <c r="U22" s="1913">
        <f>HLOOKUP(U$1,' "Вуз зож" (кафедры)'!$S$1:$U$27,$B22,0)</f>
        <v>7</v>
      </c>
      <c r="V22" s="493"/>
      <c r="W22" s="175" t="e">
        <f>HLOOKUP(W$1,'ИНСТИТУТ (СУММА КАФЕДР)'!$CF$1:$DZ$27,$B22,0)</f>
        <v>#DIV/0!</v>
      </c>
      <c r="X22" s="175" t="e">
        <f>HLOOKUP(X$1,'ИНСТИТУТ (СУММА КАФЕДР)'!$CF$1:$DZ$27,$B22,0)</f>
        <v>#DIV/0!</v>
      </c>
      <c r="Z22" s="31" t="str">
        <f>HLOOKUP(Z$1,ИНСТИТУТ!$DS$1:$EQ$27,$B22,0)</f>
        <v>СТОМ</v>
      </c>
      <c r="AA22" s="511" t="e">
        <f t="shared" si="2"/>
        <v>#DIV/0!</v>
      </c>
      <c r="AB22" s="504">
        <f>SUM('ИНСТИТУТ (КАФЕДРЫ)'!M86:M90)/COUNT('ИНСТИТУТ (КАФЕДРЫ)'!B86:B90)</f>
        <v>0.4</v>
      </c>
      <c r="AC22" s="504">
        <f>SUM('ИНСТИТУТ (КАФЕДРЫ)'!N86:N90)/COUNT('ИНСТИТУТ (КАФЕДРЫ)'!B86:B90)</f>
        <v>0</v>
      </c>
      <c r="AD22" s="504" t="e">
        <f t="shared" si="3"/>
        <v>#DIV/0!</v>
      </c>
    </row>
    <row r="23" spans="1:30" ht="28.5" x14ac:dyDescent="0.3">
      <c r="A23" s="223" t="str">
        <f>HLOOKUP(A$1,ИНСТИТУТ!$CS$1:$EQ$27,$B23,0)</f>
        <v>Институт общественного здоровья и профилактической медицины</v>
      </c>
      <c r="B23" s="92">
        <v>23</v>
      </c>
      <c r="C23" s="175" t="e">
        <f>HLOOKUP(C$1,'ИНСТИТУТ (СУММА КАФЕДР)'!$CF$1:$DZ$27,$B23,0)</f>
        <v>#DIV/0!</v>
      </c>
      <c r="D23" s="175" t="e">
        <f>HLOOKUP(D$1,'ИНСТИТУТ (СУММА КАФЕДР)'!$CF$1:$DZ$27,$B23,0)</f>
        <v>#DIV/0!</v>
      </c>
      <c r="E23" s="1913" t="e">
        <f>HLOOKUP(E$1,'ИНСТИТУТ (СУММА КАФЕДР)'!$CF$1:$DZ$27,$B23,0)</f>
        <v>#DIV/0!</v>
      </c>
      <c r="F23" s="175">
        <f>HLOOKUP(F$1,'ИНСТИТУТ (СУММА КАФЕДР)'!$CF$1:$DZ$27,$B23,0)</f>
        <v>0</v>
      </c>
      <c r="G23" s="175" t="e">
        <f>HLOOKUP(G$1,'ИНСТИТУТ (СУММА КАФЕДР)'!$CF$1:$DZ$27,$B23,0)</f>
        <v>#DIV/0!</v>
      </c>
      <c r="H23" s="175" t="e">
        <f>HLOOKUP(H$1,'ИНСТИТУТ (СУММА КАФЕДР)'!$CF$1:$DZ$27,$B23,0)</f>
        <v>#DIV/0!</v>
      </c>
      <c r="I23" s="175" t="e">
        <f>HLOOKUP(I$1,'ИНСТИТУТ (СУММА КАФЕДР)'!$CF$1:$DZ$27,$B23,0)</f>
        <v>#DIV/0!</v>
      </c>
      <c r="J23" s="1913" t="e">
        <f>HLOOKUP(J$1,'«ВУЗ-РЕГИОН»(кафедры)'!$W$1:$Y$27,$B23,0)</f>
        <v>#REF!</v>
      </c>
      <c r="K23" s="1913">
        <f>HLOOKUP(K$1,' "Вуз зож" (кафедры)'!$S$1:$U$27,$B23,0)</f>
        <v>0</v>
      </c>
      <c r="L23" s="493"/>
      <c r="M23" s="175" t="e">
        <f>HLOOKUP(M$1,'ИНСТИТУТ (СУММА КАФЕДР)'!$CF$1:$DZ$27,$B23,0)</f>
        <v>#DIV/0!</v>
      </c>
      <c r="N23" s="175" t="e">
        <f>HLOOKUP(N$1,'ИНСТИТУТ (СУММА КАФЕДР)'!$CF$1:$DZ$27,$B23,0)</f>
        <v>#DIV/0!</v>
      </c>
      <c r="O23" s="175" t="e">
        <f>HLOOKUP(O$1,'ИНСТИТУТ (СУММА КАФЕДР)'!$CF$1:$DZ$27,$B23,0)</f>
        <v>#DIV/0!</v>
      </c>
      <c r="P23" s="175">
        <f>HLOOKUP(P$1,'ИНСТИТУТ (СУММА КАФЕДР)'!$CF$1:$DZ$27,$B23,0)</f>
        <v>23</v>
      </c>
      <c r="Q23" s="175" t="e">
        <f>HLOOKUP(Q$1,'ИНСТИТУТ (СУММА КАФЕДР)'!$CF$1:$DZ$27,$B23,0)</f>
        <v>#DIV/0!</v>
      </c>
      <c r="R23" s="175" t="e">
        <f>HLOOKUP(R$1,'ИНСТИТУТ (СУММА КАФЕДР)'!$CF$1:$DZ$27,$B23,0)</f>
        <v>#DIV/0!</v>
      </c>
      <c r="S23" s="175" t="e">
        <f>HLOOKUP(S$1,'ИНСТИТУТ (СУММА КАФЕДР)'!$CF$1:$DZ$27,$B23,0)</f>
        <v>#DIV/0!</v>
      </c>
      <c r="T23" s="1913">
        <f>HLOOKUP(T$1,'«ВУЗ-РЕГИОН»(кафедры)'!$W$1:$Y$27,$B23,0)</f>
        <v>15</v>
      </c>
      <c r="U23" s="1913">
        <f>HLOOKUP(U$1,' "Вуз зож" (кафедры)'!$S$1:$U$27,$B23,0)</f>
        <v>7</v>
      </c>
      <c r="V23" s="493"/>
      <c r="W23" s="175" t="e">
        <f>HLOOKUP(W$1,'ИНСТИТУТ (СУММА КАФЕДР)'!$CF$1:$DZ$27,$B23,0)</f>
        <v>#DIV/0!</v>
      </c>
      <c r="X23" s="175" t="e">
        <f>HLOOKUP(X$1,'ИНСТИТУТ (СУММА КАФЕДР)'!$CF$1:$DZ$27,$B23,0)</f>
        <v>#DIV/0!</v>
      </c>
      <c r="Z23" s="31" t="str">
        <f>HLOOKUP(Z$1,ИНСТИТУТ!$DS$1:$EQ$27,$B23,0)</f>
        <v>ОЗДОРОВЬЯ</v>
      </c>
      <c r="AA23" s="511" t="e">
        <f t="shared" si="2"/>
        <v>#DIV/0!</v>
      </c>
      <c r="AB23" s="504">
        <f>SUM('ИНСТИТУТ (КАФЕДРЫ)'!M91:M100)/COUNT('ИНСТИТУТ (КАФЕДРЫ)'!B91:B100)</f>
        <v>0.4</v>
      </c>
      <c r="AC23" s="504">
        <f>SUM('ИНСТИТУТ (КАФЕДРЫ)'!N91:N100)/COUNT('ИНСТИТУТ (КАФЕДРЫ)'!B91:B100)</f>
        <v>-0.3</v>
      </c>
      <c r="AD23" s="504" t="e">
        <f t="shared" si="3"/>
        <v>#DIV/0!</v>
      </c>
    </row>
    <row r="24" spans="1:30" ht="18.75" x14ac:dyDescent="0.3">
      <c r="A24" s="223" t="str">
        <f>HLOOKUP(A$1,ИНСТИТУТ!$CS$1:$EQ$27,$B24,0)</f>
        <v>Институт фармации</v>
      </c>
      <c r="B24" s="92">
        <v>24</v>
      </c>
      <c r="C24" s="175" t="e">
        <f>HLOOKUP(C$1,'ИНСТИТУТ (СУММА КАФЕДР)'!$CF$1:$DZ$27,$B24,0)</f>
        <v>#DIV/0!</v>
      </c>
      <c r="D24" s="175" t="e">
        <f>HLOOKUP(D$1,'ИНСТИТУТ (СУММА КАФЕДР)'!$CF$1:$DZ$27,$B24,0)</f>
        <v>#DIV/0!</v>
      </c>
      <c r="E24" s="1913" t="e">
        <f>HLOOKUP(E$1,'ИНСТИТУТ (СУММА КАФЕДР)'!$CF$1:$DZ$27,$B24,0)</f>
        <v>#DIV/0!</v>
      </c>
      <c r="F24" s="175">
        <f>HLOOKUP(F$1,'ИНСТИТУТ (СУММА КАФЕДР)'!$CF$1:$DZ$27,$B24,0)</f>
        <v>0</v>
      </c>
      <c r="G24" s="175" t="e">
        <f>HLOOKUP(G$1,'ИНСТИТУТ (СУММА КАФЕДР)'!$CF$1:$DZ$27,$B24,0)</f>
        <v>#DIV/0!</v>
      </c>
      <c r="H24" s="175" t="e">
        <f>HLOOKUP(H$1,'ИНСТИТУТ (СУММА КАФЕДР)'!$CF$1:$DZ$27,$B24,0)</f>
        <v>#DIV/0!</v>
      </c>
      <c r="I24" s="175" t="e">
        <f>HLOOKUP(I$1,'ИНСТИТУТ (СУММА КАФЕДР)'!$CF$1:$DZ$27,$B24,0)</f>
        <v>#DIV/0!</v>
      </c>
      <c r="J24" s="1913" t="e">
        <f>HLOOKUP(J$1,'«ВУЗ-РЕГИОН»(кафедры)'!$W$1:$Y$27,$B24,0)</f>
        <v>#REF!</v>
      </c>
      <c r="K24" s="1913">
        <f>HLOOKUP(K$1,' "Вуз зож" (кафедры)'!$S$1:$U$27,$B24,0)</f>
        <v>0</v>
      </c>
      <c r="L24" s="493"/>
      <c r="M24" s="175" t="e">
        <f>HLOOKUP(M$1,'ИНСТИТУТ (СУММА КАФЕДР)'!$CF$1:$DZ$27,$B24,0)</f>
        <v>#DIV/0!</v>
      </c>
      <c r="N24" s="175" t="e">
        <f>HLOOKUP(N$1,'ИНСТИТУТ (СУММА КАФЕДР)'!$CF$1:$DZ$27,$B24,0)</f>
        <v>#DIV/0!</v>
      </c>
      <c r="O24" s="175" t="e">
        <f>HLOOKUP(O$1,'ИНСТИТУТ (СУММА КАФЕДР)'!$CF$1:$DZ$27,$B24,0)</f>
        <v>#DIV/0!</v>
      </c>
      <c r="P24" s="175">
        <f>HLOOKUP(P$1,'ИНСТИТУТ (СУММА КАФЕДР)'!$CF$1:$DZ$27,$B24,0)</f>
        <v>23</v>
      </c>
      <c r="Q24" s="175" t="e">
        <f>HLOOKUP(Q$1,'ИНСТИТУТ (СУММА КАФЕДР)'!$CF$1:$DZ$27,$B24,0)</f>
        <v>#DIV/0!</v>
      </c>
      <c r="R24" s="175" t="e">
        <f>HLOOKUP(R$1,'ИНСТИТУТ (СУММА КАФЕДР)'!$CF$1:$DZ$27,$B24,0)</f>
        <v>#DIV/0!</v>
      </c>
      <c r="S24" s="175" t="e">
        <f>HLOOKUP(S$1,'ИНСТИТУТ (СУММА КАФЕДР)'!$CF$1:$DZ$27,$B24,0)</f>
        <v>#DIV/0!</v>
      </c>
      <c r="T24" s="1913">
        <f>HLOOKUP(T$1,'«ВУЗ-РЕГИОН»(кафедры)'!$W$1:$Y$27,$B24,0)</f>
        <v>0</v>
      </c>
      <c r="U24" s="1913">
        <f>HLOOKUP(U$1,' "Вуз зож" (кафедры)'!$S$1:$U$27,$B24,0)</f>
        <v>7</v>
      </c>
      <c r="V24" s="493"/>
      <c r="W24" s="175" t="e">
        <f>HLOOKUP(W$1,'ИНСТИТУТ (СУММА КАФЕДР)'!$CF$1:$DZ$27,$B24,0)</f>
        <v>#DIV/0!</v>
      </c>
      <c r="X24" s="175" t="e">
        <f>HLOOKUP(X$1,'ИНСТИТУТ (СУММА КАФЕДР)'!$CF$1:$DZ$27,$B24,0)</f>
        <v>#DIV/0!</v>
      </c>
      <c r="Z24" s="31" t="str">
        <f>HLOOKUP(Z$1,ИНСТИТУТ!$DS$1:$EQ$27,$B24,0)</f>
        <v>ФАРМ</v>
      </c>
      <c r="AA24" s="511" t="e">
        <f t="shared" si="2"/>
        <v>#DIV/0!</v>
      </c>
      <c r="AB24" s="504">
        <f>SUM('ИНСТИТУТ (КАФЕДРЫ)'!M102:M106)/COUNT('ИНСТИТУТ (КАФЕДРЫ)'!B102:B106)</f>
        <v>0.4</v>
      </c>
      <c r="AC24" s="504">
        <f>SUM('ИНСТИТУТ (КАФЕДРЫ)'!N102:N106)/COUNT('ИНСТИТУТ (КАФЕДРЫ)'!B102:B106)</f>
        <v>0</v>
      </c>
      <c r="AD24" s="504" t="e">
        <f t="shared" si="3"/>
        <v>#DIV/0!</v>
      </c>
    </row>
    <row r="25" spans="1:30" ht="18.75" x14ac:dyDescent="0.3">
      <c r="A25" s="223" t="str">
        <f>HLOOKUP(A$1,ИНСТИТУТ!$CS$1:$EQ$27,$B25,0)</f>
        <v>Институт клинической психологии</v>
      </c>
      <c r="B25" s="92">
        <v>25</v>
      </c>
      <c r="C25" s="175" t="e">
        <f>HLOOKUP(C$1,'ИНСТИТУТ (СУММА КАФЕДР)'!$CF$1:$DZ$27,$B25,0)</f>
        <v>#DIV/0!</v>
      </c>
      <c r="D25" s="175" t="e">
        <f>HLOOKUP(D$1,'ИНСТИТУТ (СУММА КАФЕДР)'!$CF$1:$DZ$27,$B25,0)</f>
        <v>#DIV/0!</v>
      </c>
      <c r="E25" s="1913" t="e">
        <f>HLOOKUP(E$1,'ИНСТИТУТ (СУММА КАФЕДР)'!$CF$1:$DZ$27,$B25,0)</f>
        <v>#DIV/0!</v>
      </c>
      <c r="F25" s="175">
        <f>HLOOKUP(F$1,'ИНСТИТУТ (СУММА КАФЕДР)'!$CF$1:$DZ$27,$B25,0)</f>
        <v>0</v>
      </c>
      <c r="G25" s="175" t="e">
        <f>HLOOKUP(G$1,'ИНСТИТУТ (СУММА КАФЕДР)'!$CF$1:$DZ$27,$B25,0)</f>
        <v>#DIV/0!</v>
      </c>
      <c r="H25" s="175" t="e">
        <f>HLOOKUP(H$1,'ИНСТИТУТ (СУММА КАФЕДР)'!$CF$1:$DZ$27,$B25,0)</f>
        <v>#DIV/0!</v>
      </c>
      <c r="I25" s="175" t="e">
        <f>HLOOKUP(I$1,'ИНСТИТУТ (СУММА КАФЕДР)'!$CF$1:$DZ$27,$B25,0)</f>
        <v>#DIV/0!</v>
      </c>
      <c r="J25" s="1913" t="e">
        <f>HLOOKUP(J$1,'«ВУЗ-РЕГИОН»(кафедры)'!$W$1:$Y$27,$B25,0)</f>
        <v>#REF!</v>
      </c>
      <c r="K25" s="1913">
        <f>HLOOKUP(K$1,' "Вуз зож" (кафедры)'!$S$1:$U$27,$B25,0)</f>
        <v>0</v>
      </c>
      <c r="L25" s="493"/>
      <c r="M25" s="175" t="e">
        <f>HLOOKUP(M$1,'ИНСТИТУТ (СУММА КАФЕДР)'!$CF$1:$DZ$27,$B25,0)</f>
        <v>#DIV/0!</v>
      </c>
      <c r="N25" s="175" t="e">
        <f>HLOOKUP(N$1,'ИНСТИТУТ (СУММА КАФЕДР)'!$CF$1:$DZ$27,$B25,0)</f>
        <v>#DIV/0!</v>
      </c>
      <c r="O25" s="175" t="e">
        <f>HLOOKUP(O$1,'ИНСТИТУТ (СУММА КАФЕДР)'!$CF$1:$DZ$27,$B25,0)</f>
        <v>#DIV/0!</v>
      </c>
      <c r="P25" s="175">
        <f>HLOOKUP(P$1,'ИНСТИТУТ (СУММА КАФЕДР)'!$CF$1:$DZ$27,$B25,0)</f>
        <v>23</v>
      </c>
      <c r="Q25" s="175" t="e">
        <f>HLOOKUP(Q$1,'ИНСТИТУТ (СУММА КАФЕДР)'!$CF$1:$DZ$27,$B25,0)</f>
        <v>#DIV/0!</v>
      </c>
      <c r="R25" s="175" t="e">
        <f>HLOOKUP(R$1,'ИНСТИТУТ (СУММА КАФЕДР)'!$CF$1:$DZ$27,$B25,0)</f>
        <v>#DIV/0!</v>
      </c>
      <c r="S25" s="175" t="e">
        <f>HLOOKUP(S$1,'ИНСТИТУТ (СУММА КАФЕДР)'!$CF$1:$DZ$27,$B25,0)</f>
        <v>#DIV/0!</v>
      </c>
      <c r="T25" s="1913">
        <f>HLOOKUP(T$1,'«ВУЗ-РЕГИОН»(кафедры)'!$W$1:$Y$27,$B25,0)</f>
        <v>15</v>
      </c>
      <c r="U25" s="1913">
        <f>HLOOKUP(U$1,' "Вуз зож" (кафедры)'!$S$1:$U$27,$B25,0)</f>
        <v>7</v>
      </c>
      <c r="V25" s="493"/>
      <c r="W25" s="175" t="e">
        <f>HLOOKUP(W$1,'ИНСТИТУТ (СУММА КАФЕДР)'!$CF$1:$DZ$27,$B25,0)</f>
        <v>#DIV/0!</v>
      </c>
      <c r="X25" s="175" t="e">
        <f>HLOOKUP(X$1,'ИНСТИТУТ (СУММА КАФЕДР)'!$CF$1:$DZ$27,$B25,0)</f>
        <v>#DIV/0!</v>
      </c>
      <c r="Z25" s="31" t="str">
        <f>HLOOKUP(Z$1,ИНСТИТУТ!$DS$1:$EQ$27,$B25,0)</f>
        <v>КПСИХОЛОГИИ</v>
      </c>
      <c r="AA25" s="511" t="e">
        <f t="shared" si="2"/>
        <v>#DIV/0!</v>
      </c>
      <c r="AB25" s="504">
        <f>SUM('ИНСТИТУТ (КАФЕДРЫ)'!M107:M111)/COUNT('ИНСТИТУТ (КАФЕДРЫ)'!B107:B111)</f>
        <v>0</v>
      </c>
      <c r="AC25" s="504">
        <f>SUM('ИНСТИТУТ (КАФЕДРЫ)'!N107:N111)/COUNT('ИНСТИТУТ (КАФЕДРЫ)'!B107:B111)</f>
        <v>0</v>
      </c>
      <c r="AD25" s="504" t="e">
        <f t="shared" si="3"/>
        <v>#DIV/0!</v>
      </c>
    </row>
    <row r="26" spans="1:30" s="3" customFormat="1" ht="28.5" x14ac:dyDescent="0.3">
      <c r="A26" s="223" t="str">
        <f>HLOOKUP(A$1,ИНСТИТУТ!$CS$1:$EQ$27,$B26,0)</f>
        <v>Институт среднего профессионального образования</v>
      </c>
      <c r="B26" s="92">
        <v>26</v>
      </c>
      <c r="C26" s="175" t="e">
        <f>HLOOKUP(C$1,'ИНСТИТУТ (СУММА КАФЕДР)'!$CF$1:$DZ$27,$B26,0)</f>
        <v>#DIV/0!</v>
      </c>
      <c r="D26" s="175" t="e">
        <f>HLOOKUP(D$1,'ИНСТИТУТ (СУММА КАФЕДР)'!$CF$1:$DZ$27,$B26,0)</f>
        <v>#DIV/0!</v>
      </c>
      <c r="E26" s="1913" t="e">
        <f>HLOOKUP(E$1,'ИНСТИТУТ (СУММА КАФЕДР)'!$CF$1:$DZ$27,$B26,0)</f>
        <v>#DIV/0!</v>
      </c>
      <c r="F26" s="175">
        <f>HLOOKUP(F$1,'ИНСТИТУТ (СУММА КАФЕДР)'!$CF$1:$DZ$27,$B26,0)</f>
        <v>0</v>
      </c>
      <c r="G26" s="175" t="e">
        <f>HLOOKUP(G$1,'ИНСТИТУТ (СУММА КАФЕДР)'!$CF$1:$DZ$27,$B26,0)</f>
        <v>#DIV/0!</v>
      </c>
      <c r="H26" s="175" t="e">
        <f>HLOOKUP(H$1,'ИНСТИТУТ (СУММА КАФЕДР)'!$CF$1:$DZ$27,$B26,0)</f>
        <v>#DIV/0!</v>
      </c>
      <c r="I26" s="175" t="e">
        <f>HLOOKUP(I$1,'ИНСТИТУТ (СУММА КАФЕДР)'!$CF$1:$DZ$27,$B26,0)</f>
        <v>#DIV/0!</v>
      </c>
      <c r="J26" s="1913" t="e">
        <f>HLOOKUP(J$1,'«ВУЗ-РЕГИОН»(кафедры)'!$W$1:$Y$27,$B26,0)</f>
        <v>#REF!</v>
      </c>
      <c r="K26" s="1913">
        <f>HLOOKUP(K$1,' "Вуз зож" (кафедры)'!$S$1:$U$27,$B26,0)</f>
        <v>0</v>
      </c>
      <c r="L26" s="493"/>
      <c r="M26" s="175" t="e">
        <f>HLOOKUP(M$1,'ИНСТИТУТ (СУММА КАФЕДР)'!$CF$1:$DZ$27,$B26,0)</f>
        <v>#DIV/0!</v>
      </c>
      <c r="N26" s="175" t="e">
        <f>HLOOKUP(N$1,'ИНСТИТУТ (СУММА КАФЕДР)'!$CF$1:$DZ$27,$B26,0)</f>
        <v>#DIV/0!</v>
      </c>
      <c r="O26" s="175" t="e">
        <f>HLOOKUP(O$1,'ИНСТИТУТ (СУММА КАФЕДР)'!$CF$1:$DZ$27,$B26,0)</f>
        <v>#DIV/0!</v>
      </c>
      <c r="P26" s="175">
        <f>HLOOKUP(P$1,'ИНСТИТУТ (СУММА КАФЕДР)'!$CF$1:$DZ$27,$B26,0)</f>
        <v>23</v>
      </c>
      <c r="Q26" s="175" t="e">
        <f>HLOOKUP(Q$1,'ИНСТИТУТ (СУММА КАФЕДР)'!$CF$1:$DZ$27,$B26,0)</f>
        <v>#DIV/0!</v>
      </c>
      <c r="R26" s="175" t="e">
        <f>HLOOKUP(R$1,'ИНСТИТУТ (СУММА КАФЕДР)'!$CF$1:$DZ$27,$B26,0)</f>
        <v>#DIV/0!</v>
      </c>
      <c r="S26" s="175" t="e">
        <f>HLOOKUP(S$1,'ИНСТИТУТ (СУММА КАФЕДР)'!$CF$1:$DZ$27,$B26,0)</f>
        <v>#DIV/0!</v>
      </c>
      <c r="T26" s="1913">
        <f>HLOOKUP(T$1,'«ВУЗ-РЕГИОН»(кафедры)'!$W$1:$Y$27,$B26,0)</f>
        <v>15</v>
      </c>
      <c r="U26" s="1913">
        <f>HLOOKUP(U$1,' "Вуз зож" (кафедры)'!$S$1:$U$27,$B26,0)</f>
        <v>7</v>
      </c>
      <c r="V26" s="493"/>
      <c r="W26" s="175" t="e">
        <f>HLOOKUP(W$1,'ИНСТИТУТ (СУММА КАФЕДР)'!$CF$1:$DZ$27,$B26,0)</f>
        <v>#DIV/0!</v>
      </c>
      <c r="X26" s="175" t="e">
        <f>HLOOKUP(X$1,'ИНСТИТУТ (СУММА КАФЕДР)'!$CF$1:$DZ$27,$B26,0)</f>
        <v>#DIV/0!</v>
      </c>
      <c r="Y26" s="31"/>
      <c r="Z26" s="31" t="str">
        <f>HLOOKUP(Z$1,ИНСТИТУТ!$DS$1:$EQ$27,$B26,0)</f>
        <v>СПО</v>
      </c>
      <c r="AA26" s="511" t="e">
        <f>W26/X26*100</f>
        <v>#DIV/0!</v>
      </c>
      <c r="AB26" s="875">
        <f>'ИНСТИТУТ (КАФЕДРЫ)'!M101</f>
        <v>0</v>
      </c>
      <c r="AC26" s="875"/>
      <c r="AD26" s="504" t="e">
        <f t="shared" si="3"/>
        <v>#DIV/0!</v>
      </c>
    </row>
    <row r="27" spans="1:30" s="3" customFormat="1" ht="18.75" x14ac:dyDescent="0.3">
      <c r="A27" s="223" t="str">
        <f>HLOOKUP(A$1,ИНСТИТУТ!$CS$1:$EQ$27,$B27,0)</f>
        <v>Факультет иностранных студентов</v>
      </c>
      <c r="B27" s="92">
        <v>27</v>
      </c>
      <c r="C27" s="175" t="e">
        <f>HLOOKUP(C$1,'ИНСТИТУТ (СУММА КАФЕДР)'!$CF$1:$DZ$27,$B27,0)</f>
        <v>#DIV/0!</v>
      </c>
      <c r="D27" s="175" t="e">
        <f>HLOOKUP(D$1,'ИНСТИТУТ (СУММА КАФЕДР)'!$CF$1:$DZ$27,$B27,0)</f>
        <v>#DIV/0!</v>
      </c>
      <c r="E27" s="1913" t="e">
        <f>HLOOKUP(E$1,'ИНСТИТУТ (СУММА КАФЕДР)'!$CF$1:$DZ$27,$B27,0)</f>
        <v>#DIV/0!</v>
      </c>
      <c r="F27" s="175">
        <f>HLOOKUP(F$1,'ИНСТИТУТ (СУММА КАФЕДР)'!$CF$1:$DZ$27,$B27,0)</f>
        <v>0</v>
      </c>
      <c r="G27" s="175" t="e">
        <f>HLOOKUP(G$1,'ИНСТИТУТ (СУММА КАФЕДР)'!$CF$1:$DZ$27,$B27,0)</f>
        <v>#DIV/0!</v>
      </c>
      <c r="H27" s="1915" t="e">
        <f>HLOOKUP(H$1,'ИНСТИТУТ (СУММА КАФЕДР)'!$CF$1:$DZ$27,$B27,0)</f>
        <v>#DIV/0!</v>
      </c>
      <c r="I27" s="175" t="e">
        <f>HLOOKUP(I$1,'ИНСТИТУТ (СУММА КАФЕДР)'!$CF$1:$DZ$27,$B27,0)</f>
        <v>#DIV/0!</v>
      </c>
      <c r="J27" s="1913" t="e">
        <f>HLOOKUP(J$1,'«ВУЗ-РЕГИОН»(кафедры)'!$W$1:$Y$27,$B27,0)</f>
        <v>#REF!</v>
      </c>
      <c r="K27" s="1913">
        <f>HLOOKUP(K$1,' "Вуз зож" (кафедры)'!$S$1:$U$27,$B27,0)</f>
        <v>0</v>
      </c>
      <c r="L27" s="493"/>
      <c r="M27" s="175" t="e">
        <f>HLOOKUP(M$1,'ИНСТИТУТ (СУММА КАФЕДР)'!$CF$1:$DZ$27,$B27,0)</f>
        <v>#DIV/0!</v>
      </c>
      <c r="N27" s="175" t="e">
        <f>HLOOKUP(N$1,'ИНСТИТУТ (СУММА КАФЕДР)'!$CF$1:$DZ$27,$B27,0)</f>
        <v>#DIV/0!</v>
      </c>
      <c r="O27" s="175" t="e">
        <f>HLOOKUP(O$1,'ИНСТИТУТ (СУММА КАФЕДР)'!$CF$1:$DZ$27,$B27,0)</f>
        <v>#DIV/0!</v>
      </c>
      <c r="P27" s="175">
        <f>HLOOKUP(P$1,'ИНСТИТУТ (СУММА КАФЕДР)'!$CF$1:$DZ$27,$B27,0)</f>
        <v>23</v>
      </c>
      <c r="Q27" s="175" t="e">
        <f>HLOOKUP(Q$1,'ИНСТИТУТ (СУММА КАФЕДР)'!$CF$1:$DZ$27,$B27,0)</f>
        <v>#DIV/0!</v>
      </c>
      <c r="R27" s="1914" t="e">
        <f>HLOOKUP(R$1,'ИНСТИТУТ (СУММА КАФЕДР)'!$CF$1:$DZ$27,$B27,0)</f>
        <v>#DIV/0!</v>
      </c>
      <c r="S27" s="175" t="e">
        <f>HLOOKUP(S$1,'ИНСТИТУТ (СУММА КАФЕДР)'!$CF$1:$DZ$27,$B27,0)</f>
        <v>#DIV/0!</v>
      </c>
      <c r="T27" s="1913">
        <f>HLOOKUP(T$1,'«ВУЗ-РЕГИОН»(кафедры)'!$W$1:$Y$27,$B27,0)</f>
        <v>0</v>
      </c>
      <c r="U27" s="1913">
        <f>HLOOKUP(U$1,' "Вуз зож" (кафедры)'!$S$1:$U$27,$B27,0)</f>
        <v>7</v>
      </c>
      <c r="V27" s="493"/>
      <c r="W27" s="175" t="e">
        <f>HLOOKUP(W$1,'ИНСТИТУТ (СУММА КАФЕДР)'!$CF$1:$DZ$27,$B27,0)</f>
        <v>#DIV/0!</v>
      </c>
      <c r="X27" s="175" t="e">
        <f>HLOOKUP(X$1,'ИНСТИТУТ (СУММА КАФЕДР)'!$CF$1:$DZ$27,$B27,0)</f>
        <v>#DIV/0!</v>
      </c>
      <c r="Y27" s="31"/>
      <c r="Z27" s="31" t="str">
        <f>HLOOKUP(Z$1,ИНСТИТУТ!$DS$1:$EQ$27,$B27,0)</f>
        <v>ФИС</v>
      </c>
      <c r="AA27" s="511" t="e">
        <f t="shared" si="2"/>
        <v>#DIV/0!</v>
      </c>
      <c r="AB27" s="875">
        <f>SUM('ИНСТИТУТ (КАФЕДРЫ)'!M112:M113)/COUNT('ИНСТИТУТ (КАФЕДРЫ)'!B112:B113)</f>
        <v>0</v>
      </c>
      <c r="AC27" s="875"/>
      <c r="AD27" s="504" t="e">
        <f t="shared" si="3"/>
        <v>#DIV/0!</v>
      </c>
    </row>
    <row r="28" spans="1:30" s="3" customFormat="1" x14ac:dyDescent="0.25">
      <c r="A28" s="34"/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46"/>
      <c r="M28" s="34"/>
      <c r="N28" s="34"/>
      <c r="O28" s="34"/>
      <c r="P28" s="34"/>
      <c r="Q28" s="34"/>
      <c r="R28" s="34"/>
      <c r="S28" s="34"/>
      <c r="T28" s="34"/>
      <c r="U28" s="34"/>
      <c r="V28" s="46"/>
      <c r="W28" s="34"/>
      <c r="X28" s="34"/>
      <c r="Y28" s="34"/>
      <c r="Z28" s="34"/>
    </row>
    <row r="29" spans="1:30" ht="18.75" x14ac:dyDescent="0.3">
      <c r="A29" s="547" t="str">
        <f>A19</f>
        <v>сумма по кафедрам</v>
      </c>
      <c r="B29" s="92">
        <v>26</v>
      </c>
      <c r="C29" s="175" t="e">
        <f t="shared" ref="C29:K29" si="4">IF((M6+M19)=0,0,IF(M6=0,C$5,C6/M6*C$5)+IF(M19=0,0,C19/M19*C$18))</f>
        <v>#DIV/0!</v>
      </c>
      <c r="D29" s="175" t="e">
        <f t="shared" si="4"/>
        <v>#DIV/0!</v>
      </c>
      <c r="E29" s="175" t="e">
        <f t="shared" si="4"/>
        <v>#DIV/0!</v>
      </c>
      <c r="F29" s="175" t="e">
        <f t="shared" si="4"/>
        <v>#DIV/0!</v>
      </c>
      <c r="G29" s="175" t="e">
        <f t="shared" si="4"/>
        <v>#DIV/0!</v>
      </c>
      <c r="H29" s="175" t="e">
        <f t="shared" si="4"/>
        <v>#DIV/0!</v>
      </c>
      <c r="I29" s="175" t="e">
        <f t="shared" si="4"/>
        <v>#DIV/0!</v>
      </c>
      <c r="J29" s="175">
        <f t="shared" si="4"/>
        <v>0</v>
      </c>
      <c r="K29" s="175">
        <f t="shared" si="4"/>
        <v>0</v>
      </c>
      <c r="L29" s="493"/>
      <c r="M29" s="166"/>
      <c r="N29" s="166"/>
      <c r="O29" s="166"/>
      <c r="P29" s="166"/>
      <c r="Q29" s="166"/>
      <c r="R29" s="166"/>
      <c r="S29" s="166"/>
      <c r="T29" s="166"/>
      <c r="U29" s="166"/>
      <c r="V29" s="493"/>
      <c r="W29" s="175" t="e">
        <f t="shared" ref="W29" si="5">IF(X6=0,0,W6/X6*W$5)+IF(X19=0,0,W19/X19*W$18)</f>
        <v>#DIV/0!</v>
      </c>
      <c r="X29" s="166"/>
      <c r="Y29" s="31" t="s">
        <v>41</v>
      </c>
      <c r="Z29" s="31">
        <f>Z19</f>
        <v>0</v>
      </c>
      <c r="AA29" s="511"/>
    </row>
    <row r="30" spans="1:30" x14ac:dyDescent="0.25">
      <c r="A30" s="223" t="str">
        <f>A20</f>
        <v>Институт клинической медицины</v>
      </c>
      <c r="B30" s="92">
        <v>27</v>
      </c>
      <c r="C30" s="175" t="e">
        <f t="shared" ref="C30:E36" si="6">IF((M7+M20)=0,0,IF(M7=0,C$5,C7/M7*C$5)+IF(M20=0,0,C20/M20*C$18))</f>
        <v>#DIV/0!</v>
      </c>
      <c r="D30" s="175" t="e">
        <f t="shared" si="6"/>
        <v>#DIV/0!</v>
      </c>
      <c r="E30" s="175" t="e">
        <f t="shared" si="6"/>
        <v>#DIV/0!</v>
      </c>
      <c r="F30" s="175" t="e">
        <f t="array" ref="F30">IF((P7+P20)=0,0,IF(P7=0,F$5,F7/P7*F$5)+IF(P20=0,0,F20/P20*F$18))</f>
        <v>#DIV/0!</v>
      </c>
      <c r="G30" s="175" t="e">
        <f t="shared" ref="G30:K35" si="7">IF((Q7+Q20)=0,0,IF(Q7=0,G$5,G7/Q7*G$5)+IF(Q20=0,0,G20/Q20*G$18))</f>
        <v>#DIV/0!</v>
      </c>
      <c r="H30" s="175" t="e">
        <f t="shared" si="7"/>
        <v>#DIV/0!</v>
      </c>
      <c r="I30" s="175" t="e">
        <f t="shared" si="7"/>
        <v>#DIV/0!</v>
      </c>
      <c r="J30" s="175" t="e">
        <f t="shared" si="7"/>
        <v>#REF!</v>
      </c>
      <c r="K30" s="175">
        <f t="shared" si="7"/>
        <v>0</v>
      </c>
      <c r="L30" s="493"/>
      <c r="M30" s="166"/>
      <c r="N30" s="166"/>
      <c r="O30" s="166"/>
      <c r="P30" s="166"/>
      <c r="Q30" s="166"/>
      <c r="R30" s="166"/>
      <c r="S30" s="166"/>
      <c r="T30" s="166"/>
      <c r="U30" s="166"/>
      <c r="V30" s="493"/>
      <c r="W30" s="175" t="e">
        <f>IF(X7=0,0,W7/X7*W$5)+IF(X20=0,0,AD20*70%)</f>
        <v>#DIV/0!</v>
      </c>
      <c r="X30" s="166"/>
      <c r="Y30" s="31" t="s">
        <v>41</v>
      </c>
      <c r="Z30" s="31" t="str">
        <f>Z20</f>
        <v>КМЕДИЦИНЫ</v>
      </c>
      <c r="AA30" s="874" t="e">
        <f>W30-SUM(AB20:AC20)*0.7</f>
        <v>#DIV/0!</v>
      </c>
      <c r="AB30" s="504"/>
      <c r="AC30" s="874"/>
    </row>
    <row r="31" spans="1:30" x14ac:dyDescent="0.25">
      <c r="A31" s="223" t="str">
        <f t="shared" ref="A31:A37" si="8">A21</f>
        <v>Институт педиатрии</v>
      </c>
      <c r="B31" s="92">
        <v>28</v>
      </c>
      <c r="C31" s="175" t="e">
        <f t="shared" si="6"/>
        <v>#DIV/0!</v>
      </c>
      <c r="D31" s="175" t="e">
        <f t="shared" si="6"/>
        <v>#DIV/0!</v>
      </c>
      <c r="E31" s="175" t="e">
        <f t="shared" si="6"/>
        <v>#DIV/0!</v>
      </c>
      <c r="F31" s="175" t="e">
        <f t="shared" ref="F31:F36" si="9">IF((P8+P21)=0,0,IF(P8=0,F$5,F8/P8*F$5)+IF(P21=0,0,F21/P21*F$18))</f>
        <v>#DIV/0!</v>
      </c>
      <c r="G31" s="175" t="e">
        <f t="shared" si="7"/>
        <v>#DIV/0!</v>
      </c>
      <c r="H31" s="175" t="e">
        <f t="shared" si="7"/>
        <v>#DIV/0!</v>
      </c>
      <c r="I31" s="175" t="e">
        <f t="shared" si="7"/>
        <v>#DIV/0!</v>
      </c>
      <c r="J31" s="175" t="e">
        <f t="shared" si="7"/>
        <v>#REF!</v>
      </c>
      <c r="K31" s="175">
        <f t="shared" si="7"/>
        <v>0</v>
      </c>
      <c r="L31" s="493"/>
      <c r="M31" s="166"/>
      <c r="N31" s="166"/>
      <c r="O31" s="166"/>
      <c r="P31" s="166"/>
      <c r="Q31" s="166"/>
      <c r="R31" s="166"/>
      <c r="S31" s="166"/>
      <c r="T31" s="166"/>
      <c r="U31" s="166"/>
      <c r="V31" s="493"/>
      <c r="W31" s="175" t="e">
        <f t="shared" ref="W31:W37" si="10">IF(X8=0,0,W8/X8*W$5)+IF(X21=0,0,AD21*70%)</f>
        <v>#DIV/0!</v>
      </c>
      <c r="X31" s="166"/>
      <c r="Y31" s="31" t="s">
        <v>41</v>
      </c>
      <c r="Z31" s="31" t="str">
        <f t="shared" ref="Z31:Z37" si="11">Z21</f>
        <v>ПЕДИАТРИИ</v>
      </c>
      <c r="AA31" s="874" t="e">
        <f t="shared" ref="AA31:AA37" si="12">W31-SUM(AB21:AC21)*0.7</f>
        <v>#DIV/0!</v>
      </c>
      <c r="AB31" s="874"/>
    </row>
    <row r="32" spans="1:30" x14ac:dyDescent="0.25">
      <c r="A32" s="223" t="str">
        <f t="shared" si="8"/>
        <v>Институт стоматологии</v>
      </c>
      <c r="B32" s="92">
        <v>29</v>
      </c>
      <c r="C32" s="175" t="e">
        <f t="shared" si="6"/>
        <v>#DIV/0!</v>
      </c>
      <c r="D32" s="175" t="e">
        <f t="shared" si="6"/>
        <v>#DIV/0!</v>
      </c>
      <c r="E32" s="175" t="e">
        <f t="shared" si="6"/>
        <v>#DIV/0!</v>
      </c>
      <c r="F32" s="175" t="e">
        <f t="shared" si="9"/>
        <v>#DIV/0!</v>
      </c>
      <c r="G32" s="175" t="e">
        <f t="shared" si="7"/>
        <v>#DIV/0!</v>
      </c>
      <c r="H32" s="175" t="e">
        <f t="shared" si="7"/>
        <v>#DIV/0!</v>
      </c>
      <c r="I32" s="175" t="e">
        <f t="shared" si="7"/>
        <v>#DIV/0!</v>
      </c>
      <c r="J32" s="175" t="e">
        <f t="shared" si="7"/>
        <v>#REF!</v>
      </c>
      <c r="K32" s="175">
        <f t="shared" si="7"/>
        <v>0</v>
      </c>
      <c r="L32" s="493"/>
      <c r="M32" s="166"/>
      <c r="N32" s="166"/>
      <c r="O32" s="166"/>
      <c r="P32" s="166"/>
      <c r="Q32" s="166"/>
      <c r="R32" s="166"/>
      <c r="S32" s="166"/>
      <c r="T32" s="166"/>
      <c r="U32" s="166"/>
      <c r="V32" s="493"/>
      <c r="W32" s="175" t="e">
        <f t="shared" si="10"/>
        <v>#DIV/0!</v>
      </c>
      <c r="X32" s="166"/>
      <c r="Y32" s="31" t="s">
        <v>41</v>
      </c>
      <c r="Z32" s="31" t="str">
        <f t="shared" si="11"/>
        <v>СТОМ</v>
      </c>
      <c r="AA32" s="874" t="e">
        <f t="shared" si="12"/>
        <v>#DIV/0!</v>
      </c>
    </row>
    <row r="33" spans="1:27" ht="28.5" x14ac:dyDescent="0.25">
      <c r="A33" s="223" t="str">
        <f t="shared" si="8"/>
        <v>Институт общественного здоровья и профилактической медицины</v>
      </c>
      <c r="B33" s="92">
        <v>30</v>
      </c>
      <c r="C33" s="175" t="e">
        <f t="shared" si="6"/>
        <v>#DIV/0!</v>
      </c>
      <c r="D33" s="175" t="e">
        <f t="shared" si="6"/>
        <v>#DIV/0!</v>
      </c>
      <c r="E33" s="175" t="e">
        <f t="shared" si="6"/>
        <v>#DIV/0!</v>
      </c>
      <c r="F33" s="175" t="e">
        <f t="shared" si="9"/>
        <v>#DIV/0!</v>
      </c>
      <c r="G33" s="175" t="e">
        <f t="shared" si="7"/>
        <v>#DIV/0!</v>
      </c>
      <c r="H33" s="175" t="e">
        <f t="shared" si="7"/>
        <v>#DIV/0!</v>
      </c>
      <c r="I33" s="175" t="e">
        <f t="shared" si="7"/>
        <v>#DIV/0!</v>
      </c>
      <c r="J33" s="175" t="e">
        <f t="shared" si="7"/>
        <v>#REF!</v>
      </c>
      <c r="K33" s="175">
        <f t="shared" si="7"/>
        <v>0</v>
      </c>
      <c r="L33" s="493"/>
      <c r="M33" s="166"/>
      <c r="N33" s="166"/>
      <c r="O33" s="166"/>
      <c r="P33" s="166"/>
      <c r="Q33" s="166"/>
      <c r="R33" s="166"/>
      <c r="S33" s="166"/>
      <c r="T33" s="166"/>
      <c r="U33" s="166"/>
      <c r="V33" s="493"/>
      <c r="W33" s="175" t="e">
        <f t="shared" si="10"/>
        <v>#DIV/0!</v>
      </c>
      <c r="X33" s="166"/>
      <c r="Y33" s="31" t="s">
        <v>41</v>
      </c>
      <c r="Z33" s="31" t="str">
        <f t="shared" si="11"/>
        <v>ОЗДОРОВЬЯ</v>
      </c>
      <c r="AA33" s="874" t="e">
        <f t="shared" si="12"/>
        <v>#DIV/0!</v>
      </c>
    </row>
    <row r="34" spans="1:27" x14ac:dyDescent="0.25">
      <c r="A34" s="223" t="str">
        <f t="shared" si="8"/>
        <v>Институт фармации</v>
      </c>
      <c r="B34" s="92">
        <v>31</v>
      </c>
      <c r="C34" s="175" t="e">
        <f t="shared" si="6"/>
        <v>#DIV/0!</v>
      </c>
      <c r="D34" s="175" t="e">
        <f t="shared" si="6"/>
        <v>#DIV/0!</v>
      </c>
      <c r="E34" s="175" t="e">
        <f t="shared" si="6"/>
        <v>#DIV/0!</v>
      </c>
      <c r="F34" s="175" t="e">
        <f t="shared" si="9"/>
        <v>#DIV/0!</v>
      </c>
      <c r="G34" s="175" t="e">
        <f t="shared" si="7"/>
        <v>#DIV/0!</v>
      </c>
      <c r="H34" s="175" t="e">
        <f t="shared" si="7"/>
        <v>#DIV/0!</v>
      </c>
      <c r="I34" s="175" t="e">
        <f t="shared" si="7"/>
        <v>#DIV/0!</v>
      </c>
      <c r="J34" s="175">
        <f t="shared" si="7"/>
        <v>0</v>
      </c>
      <c r="K34" s="175">
        <f t="shared" si="7"/>
        <v>0</v>
      </c>
      <c r="L34" s="493"/>
      <c r="M34" s="166"/>
      <c r="N34" s="166"/>
      <c r="O34" s="166"/>
      <c r="P34" s="166"/>
      <c r="Q34" s="166"/>
      <c r="R34" s="166"/>
      <c r="S34" s="166"/>
      <c r="T34" s="166"/>
      <c r="U34" s="166"/>
      <c r="V34" s="493"/>
      <c r="W34" s="175" t="e">
        <f t="shared" si="10"/>
        <v>#DIV/0!</v>
      </c>
      <c r="X34" s="166"/>
      <c r="Y34" s="31" t="s">
        <v>41</v>
      </c>
      <c r="Z34" s="31" t="str">
        <f t="shared" si="11"/>
        <v>ФАРМ</v>
      </c>
      <c r="AA34" s="874" t="e">
        <f t="shared" si="12"/>
        <v>#DIV/0!</v>
      </c>
    </row>
    <row r="35" spans="1:27" x14ac:dyDescent="0.25">
      <c r="A35" s="223" t="str">
        <f t="shared" si="8"/>
        <v>Институт клинической психологии</v>
      </c>
      <c r="B35" s="92">
        <v>32</v>
      </c>
      <c r="C35" s="175" t="e">
        <f t="shared" si="6"/>
        <v>#DIV/0!</v>
      </c>
      <c r="D35" s="175" t="e">
        <f t="shared" si="6"/>
        <v>#DIV/0!</v>
      </c>
      <c r="E35" s="175" t="e">
        <f t="shared" si="6"/>
        <v>#DIV/0!</v>
      </c>
      <c r="F35" s="175" t="e">
        <f t="shared" si="9"/>
        <v>#DIV/0!</v>
      </c>
      <c r="G35" s="175" t="e">
        <f t="shared" si="7"/>
        <v>#DIV/0!</v>
      </c>
      <c r="H35" s="549" t="e">
        <f t="shared" si="7"/>
        <v>#DIV/0!</v>
      </c>
      <c r="I35" s="175" t="e">
        <f t="shared" si="7"/>
        <v>#DIV/0!</v>
      </c>
      <c r="J35" s="175" t="e">
        <f t="shared" si="7"/>
        <v>#REF!</v>
      </c>
      <c r="K35" s="175">
        <f t="shared" si="7"/>
        <v>0</v>
      </c>
      <c r="L35" s="493"/>
      <c r="M35" s="166"/>
      <c r="N35" s="166"/>
      <c r="O35" s="166"/>
      <c r="P35" s="166"/>
      <c r="Q35" s="166"/>
      <c r="R35" s="166"/>
      <c r="S35" s="166"/>
      <c r="T35" s="166"/>
      <c r="U35" s="166"/>
      <c r="V35" s="493"/>
      <c r="W35" s="175" t="e">
        <f t="shared" si="10"/>
        <v>#DIV/0!</v>
      </c>
      <c r="X35" s="166"/>
      <c r="Y35" s="31" t="s">
        <v>41</v>
      </c>
      <c r="Z35" s="31" t="str">
        <f t="shared" si="11"/>
        <v>КПСИХОЛОГИИ</v>
      </c>
      <c r="AA35" s="874" t="e">
        <f t="shared" si="12"/>
        <v>#DIV/0!</v>
      </c>
    </row>
    <row r="36" spans="1:27" s="534" customFormat="1" ht="28.5" x14ac:dyDescent="0.25">
      <c r="A36" s="223" t="str">
        <f t="shared" si="8"/>
        <v>Институт среднего профессионального образования</v>
      </c>
      <c r="B36" s="92">
        <v>33</v>
      </c>
      <c r="C36" s="175" t="e">
        <f t="shared" si="6"/>
        <v>#DIV/0!</v>
      </c>
      <c r="D36" s="175" t="e">
        <f t="shared" si="6"/>
        <v>#DIV/0!</v>
      </c>
      <c r="E36" s="175" t="e">
        <f t="shared" si="6"/>
        <v>#DIV/0!</v>
      </c>
      <c r="F36" s="175" t="e">
        <f t="shared" si="9"/>
        <v>#DIV/0!</v>
      </c>
      <c r="G36" s="175" t="e">
        <f>IF((Q13+Q26)=0,0,IF(Q13=0,G$5,G13/Q13*G$5)+IF(Q26=0,0,G26/Q26*G$18))</f>
        <v>#DIV/0!</v>
      </c>
      <c r="H36" s="549" t="e">
        <f>IF((R13+R26)=0,0,IF(R13=0,H$5,H13/R13*100)+IF(R26=0,0,H26/R26*100))</f>
        <v>#DIV/0!</v>
      </c>
      <c r="I36" s="175" t="e">
        <f>IF((S13+S26)=0,0,IF(S13=0,I$5,I13/S13*I$5)+IF(S26=0,0,I26/S26*I$18))</f>
        <v>#DIV/0!</v>
      </c>
      <c r="J36" s="175" t="e">
        <f>IF((T13+T26)=0,0,IF(T13=0,J$5,J13/T13*J$5)+IF(T26=0,0,J26/T26*J$18))</f>
        <v>#REF!</v>
      </c>
      <c r="K36" s="175">
        <f>IF((U13+U26)=0,0,IF(U13=0,K$5,K13/U13*K$5)+IF(U26=0,0,K26/U26*K$18))</f>
        <v>0</v>
      </c>
      <c r="L36" s="493"/>
      <c r="M36" s="166"/>
      <c r="N36" s="166"/>
      <c r="O36" s="166"/>
      <c r="P36" s="166"/>
      <c r="Q36" s="166"/>
      <c r="R36" s="166"/>
      <c r="S36" s="166"/>
      <c r="T36" s="166"/>
      <c r="U36" s="166"/>
      <c r="V36" s="493"/>
      <c r="W36" s="175" t="e">
        <f t="shared" si="10"/>
        <v>#DIV/0!</v>
      </c>
      <c r="X36" s="166"/>
      <c r="Y36" s="31" t="s">
        <v>41</v>
      </c>
      <c r="Z36" s="31" t="str">
        <f t="shared" si="11"/>
        <v>СПО</v>
      </c>
      <c r="AA36" s="874" t="e">
        <f t="shared" si="12"/>
        <v>#DIV/0!</v>
      </c>
    </row>
    <row r="37" spans="1:27" s="489" customFormat="1" x14ac:dyDescent="0.25">
      <c r="A37" s="223" t="str">
        <f t="shared" si="8"/>
        <v>Факультет иностранных студентов</v>
      </c>
      <c r="B37" s="92">
        <v>34</v>
      </c>
      <c r="C37" s="175" t="e">
        <f t="array" ref="C37">IF((M14+M27)=0,0,IF(M14=0,C$5,C14/M14*C$5)+IF(M27=0,0,C27/M27*C$18))</f>
        <v>#DIV/0!</v>
      </c>
      <c r="D37" s="175" t="e">
        <f t="array" ref="D37">IF((N14+N27)=0,0,IF(N14=0,D$5,D14/N14*D$5)+IF(N27=0,0,D27/N27*D$18))</f>
        <v>#DIV/0!</v>
      </c>
      <c r="E37" s="175" t="e">
        <f t="array" ref="E37">IF((O14+O27)=0,0,IF(O14=0,E$5,E14/O14*E$5)+IF(O27=0,0,E27/O27*E$18))</f>
        <v>#DIV/0!</v>
      </c>
      <c r="F37" s="175" t="e">
        <f t="array" ref="F37">IF((P14+P27)=0,0,IF(P14=0,F$5,F14/P14*F$5)+IF(P27=0,0,F27/P27*F$18))</f>
        <v>#DIV/0!</v>
      </c>
      <c r="G37" s="175" t="e">
        <f t="array" ref="G37">IF((Q14+Q27)=0,0,IF(Q14=0,G$5,G14/Q14*G$5)+IF(Q27=0,0,G27/Q27*G$18))</f>
        <v>#DIV/0!</v>
      </c>
      <c r="H37" s="175" t="e">
        <f t="array" ref="H37">IF((R14+R27)=0,0,IF(R14=0,H$5,H14/R14*H$5)+IF(R27=0,0,H27/R27*H$18))</f>
        <v>#DIV/0!</v>
      </c>
      <c r="I37" s="548" t="e">
        <f>IF((S15+S27)=0,0,IF(S15=0,I$5,I15/S15*I$5)+IF(S27=0,0,I27/S27*I$18))</f>
        <v>#DIV/0!</v>
      </c>
      <c r="J37" s="175">
        <f>IF((T14+T27)=0,0,IF(T14=0,J$5,J14/T14*J$5)+IF(T27=0,0,J27/T27*J$18))</f>
        <v>0</v>
      </c>
      <c r="K37" s="175">
        <f>IF((U14+U27)=0,0,IF(U14=0,K$5,K14/U14*K$5)+IF(U27=0,0,K27/U27*K$18))</f>
        <v>0</v>
      </c>
      <c r="L37" s="493"/>
      <c r="M37" s="166"/>
      <c r="N37" s="166"/>
      <c r="O37" s="166"/>
      <c r="P37" s="166"/>
      <c r="Q37" s="166"/>
      <c r="R37" s="166"/>
      <c r="S37" s="166"/>
      <c r="T37" s="166"/>
      <c r="U37" s="166"/>
      <c r="V37" s="493"/>
      <c r="W37" s="175" t="e">
        <f t="shared" si="10"/>
        <v>#DIV/0!</v>
      </c>
      <c r="X37" s="166"/>
      <c r="Y37" s="31" t="s">
        <v>41</v>
      </c>
      <c r="Z37" s="31" t="str">
        <f t="shared" si="11"/>
        <v>ФИС</v>
      </c>
      <c r="AA37" s="874" t="e">
        <f t="shared" si="12"/>
        <v>#DIV/0!</v>
      </c>
    </row>
    <row r="38" spans="1:27" s="9" customFormat="1" x14ac:dyDescent="0.25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7" ht="40.5" customHeight="1" x14ac:dyDescent="0.25">
      <c r="A39" s="547" t="str">
        <f t="shared" ref="A39:A47" si="13">A29</f>
        <v>сумма по кафедрам</v>
      </c>
      <c r="B39" s="92">
        <v>35</v>
      </c>
      <c r="C39" s="175" t="e">
        <f>IF(C29=0,0,TEXT(C29,"0,0")&amp;"%")</f>
        <v>#DIV/0!</v>
      </c>
      <c r="D39" s="175" t="e">
        <f>IF(D29=0,0,TEXT(D29,"0,0")&amp;"%")</f>
        <v>#DIV/0!</v>
      </c>
      <c r="E39" s="175" t="e">
        <f t="shared" ref="E39:K39" si="14">IF(E29=0,0,TEXT(E29,"0,0")&amp;"%")</f>
        <v>#DIV/0!</v>
      </c>
      <c r="F39" s="175" t="e">
        <f t="shared" si="14"/>
        <v>#DIV/0!</v>
      </c>
      <c r="G39" s="175" t="e">
        <f t="shared" si="14"/>
        <v>#DIV/0!</v>
      </c>
      <c r="H39" s="175" t="e">
        <f t="shared" si="14"/>
        <v>#DIV/0!</v>
      </c>
      <c r="I39" s="175" t="e">
        <f t="shared" si="14"/>
        <v>#DIV/0!</v>
      </c>
      <c r="J39" s="175">
        <f t="shared" si="14"/>
        <v>0</v>
      </c>
      <c r="K39" s="175">
        <f t="shared" si="14"/>
        <v>0</v>
      </c>
      <c r="L39" s="493"/>
      <c r="M39" s="166"/>
      <c r="N39" s="166"/>
      <c r="O39" s="166"/>
      <c r="P39" s="166"/>
      <c r="Q39" s="166"/>
      <c r="R39" s="166"/>
      <c r="S39" s="166"/>
      <c r="T39" s="166"/>
      <c r="U39" s="166"/>
      <c r="V39" s="493"/>
      <c r="W39" s="175" t="e">
        <f>IF(W29=0,0,TEXT(W29,"0,0")&amp;"%")</f>
        <v>#DIV/0!</v>
      </c>
      <c r="X39" s="166"/>
      <c r="Y39" s="31" t="s">
        <v>41</v>
      </c>
      <c r="Z39" s="31">
        <f t="shared" ref="Z39:Z47" si="15">Z29</f>
        <v>0</v>
      </c>
      <c r="AA39" s="175" t="e">
        <f>IF(W29=0,0,TEXT(W29,"0,0")&amp;"%")</f>
        <v>#DIV/0!</v>
      </c>
    </row>
    <row r="40" spans="1:27" x14ac:dyDescent="0.25">
      <c r="A40" s="223" t="str">
        <f t="shared" si="13"/>
        <v>Институт клинической медицины</v>
      </c>
      <c r="B40" s="92">
        <v>36</v>
      </c>
      <c r="C40" s="175" t="e">
        <f t="shared" ref="C40:K40" si="16">IF(C30=0,0,TEXT(C30,"0,0")&amp;"%")</f>
        <v>#DIV/0!</v>
      </c>
      <c r="D40" s="175" t="e">
        <f t="shared" si="16"/>
        <v>#DIV/0!</v>
      </c>
      <c r="E40" s="175" t="e">
        <f t="shared" si="16"/>
        <v>#DIV/0!</v>
      </c>
      <c r="F40" s="175" t="e">
        <f t="shared" si="16"/>
        <v>#DIV/0!</v>
      </c>
      <c r="G40" s="175" t="e">
        <f t="shared" si="16"/>
        <v>#DIV/0!</v>
      </c>
      <c r="H40" s="175" t="e">
        <f t="shared" si="16"/>
        <v>#DIV/0!</v>
      </c>
      <c r="I40" s="175" t="e">
        <f t="shared" si="16"/>
        <v>#DIV/0!</v>
      </c>
      <c r="J40" s="175" t="e">
        <f t="shared" si="16"/>
        <v>#REF!</v>
      </c>
      <c r="K40" s="175">
        <f t="shared" si="16"/>
        <v>0</v>
      </c>
      <c r="L40" s="493"/>
      <c r="M40" s="166"/>
      <c r="N40" s="166"/>
      <c r="O40" s="166"/>
      <c r="P40" s="166"/>
      <c r="Q40" s="166"/>
      <c r="R40" s="166"/>
      <c r="S40" s="166"/>
      <c r="T40" s="166"/>
      <c r="U40" s="166"/>
      <c r="V40" s="493"/>
      <c r="W40" s="175" t="e">
        <f t="shared" ref="W40:W47" si="17">IF(W30=0,0,TEXT(W30,"0,0")&amp;"%")</f>
        <v>#DIV/0!</v>
      </c>
      <c r="X40" s="166"/>
      <c r="Y40" s="31" t="s">
        <v>41</v>
      </c>
      <c r="Z40" s="31" t="str">
        <f t="shared" si="15"/>
        <v>КМЕДИЦИНЫ</v>
      </c>
      <c r="AA40" s="175" t="e">
        <f t="shared" ref="AA40:AA47" si="18">IF(AA30=0,0,TEXT(AA30,"0,0")&amp;"%")</f>
        <v>#DIV/0!</v>
      </c>
    </row>
    <row r="41" spans="1:27" x14ac:dyDescent="0.25">
      <c r="A41" s="223" t="str">
        <f t="shared" si="13"/>
        <v>Институт педиатрии</v>
      </c>
      <c r="B41" s="92">
        <v>37</v>
      </c>
      <c r="C41" s="175" t="e">
        <f t="shared" ref="C41:K41" si="19">IF(C31=0,0,TEXT(C31,"0,0")&amp;"%")</f>
        <v>#DIV/0!</v>
      </c>
      <c r="D41" s="175" t="e">
        <f t="shared" si="19"/>
        <v>#DIV/0!</v>
      </c>
      <c r="E41" s="175" t="e">
        <f t="shared" si="19"/>
        <v>#DIV/0!</v>
      </c>
      <c r="F41" s="175" t="e">
        <f t="shared" si="19"/>
        <v>#DIV/0!</v>
      </c>
      <c r="G41" s="175" t="e">
        <f t="shared" si="19"/>
        <v>#DIV/0!</v>
      </c>
      <c r="H41" s="175" t="e">
        <f t="shared" si="19"/>
        <v>#DIV/0!</v>
      </c>
      <c r="I41" s="175" t="e">
        <f t="shared" si="19"/>
        <v>#DIV/0!</v>
      </c>
      <c r="J41" s="175" t="e">
        <f t="shared" si="19"/>
        <v>#REF!</v>
      </c>
      <c r="K41" s="175">
        <f t="shared" si="19"/>
        <v>0</v>
      </c>
      <c r="L41" s="493"/>
      <c r="M41" s="166"/>
      <c r="N41" s="166"/>
      <c r="O41" s="166"/>
      <c r="P41" s="166"/>
      <c r="Q41" s="166"/>
      <c r="R41" s="166"/>
      <c r="S41" s="166"/>
      <c r="T41" s="166"/>
      <c r="U41" s="166"/>
      <c r="V41" s="493"/>
      <c r="W41" s="175" t="e">
        <f t="shared" si="17"/>
        <v>#DIV/0!</v>
      </c>
      <c r="X41" s="166"/>
      <c r="Y41" s="31" t="s">
        <v>41</v>
      </c>
      <c r="Z41" s="31" t="str">
        <f t="shared" si="15"/>
        <v>ПЕДИАТРИИ</v>
      </c>
      <c r="AA41" s="175" t="e">
        <f t="shared" si="18"/>
        <v>#DIV/0!</v>
      </c>
    </row>
    <row r="42" spans="1:27" x14ac:dyDescent="0.25">
      <c r="A42" s="223" t="str">
        <f t="shared" si="13"/>
        <v>Институт стоматологии</v>
      </c>
      <c r="B42" s="92">
        <v>38</v>
      </c>
      <c r="C42" s="175" t="e">
        <f t="shared" ref="C42:K42" si="20">IF(C32=0,0,TEXT(C32,"0,0")&amp;"%")</f>
        <v>#DIV/0!</v>
      </c>
      <c r="D42" s="175" t="e">
        <f t="shared" si="20"/>
        <v>#DIV/0!</v>
      </c>
      <c r="E42" s="175" t="e">
        <f t="shared" si="20"/>
        <v>#DIV/0!</v>
      </c>
      <c r="F42" s="175" t="e">
        <f t="shared" si="20"/>
        <v>#DIV/0!</v>
      </c>
      <c r="G42" s="175" t="e">
        <f t="shared" si="20"/>
        <v>#DIV/0!</v>
      </c>
      <c r="H42" s="175" t="e">
        <f t="shared" si="20"/>
        <v>#DIV/0!</v>
      </c>
      <c r="I42" s="175" t="e">
        <f t="shared" si="20"/>
        <v>#DIV/0!</v>
      </c>
      <c r="J42" s="175" t="e">
        <f t="shared" si="20"/>
        <v>#REF!</v>
      </c>
      <c r="K42" s="175">
        <f t="shared" si="20"/>
        <v>0</v>
      </c>
      <c r="L42" s="493"/>
      <c r="M42" s="166"/>
      <c r="N42" s="166"/>
      <c r="O42" s="166"/>
      <c r="P42" s="166"/>
      <c r="Q42" s="166"/>
      <c r="R42" s="166"/>
      <c r="S42" s="166"/>
      <c r="T42" s="166"/>
      <c r="U42" s="166"/>
      <c r="V42" s="493"/>
      <c r="W42" s="175" t="e">
        <f t="shared" si="17"/>
        <v>#DIV/0!</v>
      </c>
      <c r="X42" s="166"/>
      <c r="Y42" s="31" t="s">
        <v>41</v>
      </c>
      <c r="Z42" s="31" t="str">
        <f t="shared" si="15"/>
        <v>СТОМ</v>
      </c>
      <c r="AA42" s="175" t="e">
        <f t="shared" si="18"/>
        <v>#DIV/0!</v>
      </c>
    </row>
    <row r="43" spans="1:27" ht="28.5" x14ac:dyDescent="0.25">
      <c r="A43" s="223" t="str">
        <f t="shared" si="13"/>
        <v>Институт общественного здоровья и профилактической медицины</v>
      </c>
      <c r="B43" s="92">
        <v>39</v>
      </c>
      <c r="C43" s="175" t="e">
        <f t="shared" ref="C43:K43" si="21">IF(C33=0,0,TEXT(C33,"0,0")&amp;"%")</f>
        <v>#DIV/0!</v>
      </c>
      <c r="D43" s="175" t="e">
        <f t="shared" si="21"/>
        <v>#DIV/0!</v>
      </c>
      <c r="E43" s="175" t="e">
        <f t="shared" si="21"/>
        <v>#DIV/0!</v>
      </c>
      <c r="F43" s="175" t="e">
        <f t="shared" si="21"/>
        <v>#DIV/0!</v>
      </c>
      <c r="G43" s="175" t="e">
        <f t="shared" si="21"/>
        <v>#DIV/0!</v>
      </c>
      <c r="H43" s="175" t="e">
        <f t="shared" si="21"/>
        <v>#DIV/0!</v>
      </c>
      <c r="I43" s="175" t="e">
        <f t="shared" si="21"/>
        <v>#DIV/0!</v>
      </c>
      <c r="J43" s="175" t="e">
        <f t="shared" si="21"/>
        <v>#REF!</v>
      </c>
      <c r="K43" s="175">
        <f t="shared" si="21"/>
        <v>0</v>
      </c>
      <c r="L43" s="493"/>
      <c r="M43" s="166"/>
      <c r="N43" s="166"/>
      <c r="O43" s="166"/>
      <c r="P43" s="166"/>
      <c r="Q43" s="166"/>
      <c r="R43" s="166"/>
      <c r="S43" s="166"/>
      <c r="T43" s="166"/>
      <c r="U43" s="166"/>
      <c r="V43" s="493"/>
      <c r="W43" s="175" t="e">
        <f t="shared" si="17"/>
        <v>#DIV/0!</v>
      </c>
      <c r="X43" s="166"/>
      <c r="Y43" s="31" t="s">
        <v>41</v>
      </c>
      <c r="Z43" s="31" t="str">
        <f t="shared" si="15"/>
        <v>ОЗДОРОВЬЯ</v>
      </c>
      <c r="AA43" s="175" t="e">
        <f t="shared" si="18"/>
        <v>#DIV/0!</v>
      </c>
    </row>
    <row r="44" spans="1:27" x14ac:dyDescent="0.25">
      <c r="A44" s="223" t="str">
        <f t="shared" si="13"/>
        <v>Институт фармации</v>
      </c>
      <c r="B44" s="92">
        <v>40</v>
      </c>
      <c r="C44" s="175" t="e">
        <f t="shared" ref="C44:K44" si="22">IF(C34=0,0,TEXT(C34,"0,0")&amp;"%")</f>
        <v>#DIV/0!</v>
      </c>
      <c r="D44" s="175" t="e">
        <f t="shared" si="22"/>
        <v>#DIV/0!</v>
      </c>
      <c r="E44" s="175" t="e">
        <f t="shared" si="22"/>
        <v>#DIV/0!</v>
      </c>
      <c r="F44" s="175" t="e">
        <f t="shared" si="22"/>
        <v>#DIV/0!</v>
      </c>
      <c r="G44" s="175" t="e">
        <f t="shared" si="22"/>
        <v>#DIV/0!</v>
      </c>
      <c r="H44" s="175" t="e">
        <f t="shared" si="22"/>
        <v>#DIV/0!</v>
      </c>
      <c r="I44" s="175" t="e">
        <f t="shared" si="22"/>
        <v>#DIV/0!</v>
      </c>
      <c r="J44" s="175">
        <f t="shared" si="22"/>
        <v>0</v>
      </c>
      <c r="K44" s="175">
        <f t="shared" si="22"/>
        <v>0</v>
      </c>
      <c r="L44" s="493"/>
      <c r="M44" s="166"/>
      <c r="N44" s="166"/>
      <c r="O44" s="166"/>
      <c r="P44" s="166"/>
      <c r="Q44" s="166"/>
      <c r="R44" s="166"/>
      <c r="S44" s="166"/>
      <c r="T44" s="166"/>
      <c r="U44" s="166"/>
      <c r="V44" s="493"/>
      <c r="W44" s="175" t="e">
        <f t="shared" si="17"/>
        <v>#DIV/0!</v>
      </c>
      <c r="X44" s="166"/>
      <c r="Y44" s="31" t="s">
        <v>41</v>
      </c>
      <c r="Z44" s="31" t="str">
        <f t="shared" si="15"/>
        <v>ФАРМ</v>
      </c>
      <c r="AA44" s="175" t="e">
        <f t="shared" si="18"/>
        <v>#DIV/0!</v>
      </c>
    </row>
    <row r="45" spans="1:27" x14ac:dyDescent="0.25">
      <c r="A45" s="223" t="str">
        <f t="shared" si="13"/>
        <v>Институт клинической психологии</v>
      </c>
      <c r="B45" s="92">
        <v>41</v>
      </c>
      <c r="C45" s="175" t="e">
        <f t="shared" ref="C45:K45" si="23">IF(C35=0,0,TEXT(C35,"0,0")&amp;"%")</f>
        <v>#DIV/0!</v>
      </c>
      <c r="D45" s="175" t="e">
        <f t="shared" si="23"/>
        <v>#DIV/0!</v>
      </c>
      <c r="E45" s="175" t="e">
        <f t="shared" si="23"/>
        <v>#DIV/0!</v>
      </c>
      <c r="F45" s="175" t="e">
        <f t="shared" si="23"/>
        <v>#DIV/0!</v>
      </c>
      <c r="G45" s="175" t="e">
        <f t="shared" si="23"/>
        <v>#DIV/0!</v>
      </c>
      <c r="H45" s="175" t="e">
        <f t="shared" si="23"/>
        <v>#DIV/0!</v>
      </c>
      <c r="I45" s="175" t="e">
        <f t="shared" si="23"/>
        <v>#DIV/0!</v>
      </c>
      <c r="J45" s="175" t="e">
        <f t="shared" si="23"/>
        <v>#REF!</v>
      </c>
      <c r="K45" s="175">
        <f t="shared" si="23"/>
        <v>0</v>
      </c>
      <c r="L45" s="493"/>
      <c r="M45" s="166"/>
      <c r="N45" s="166"/>
      <c r="O45" s="166"/>
      <c r="P45" s="166"/>
      <c r="Q45" s="166"/>
      <c r="R45" s="166"/>
      <c r="S45" s="166"/>
      <c r="T45" s="166"/>
      <c r="U45" s="166"/>
      <c r="V45" s="493"/>
      <c r="W45" s="175" t="e">
        <f t="shared" si="17"/>
        <v>#DIV/0!</v>
      </c>
      <c r="X45" s="166"/>
      <c r="Y45" s="31" t="s">
        <v>41</v>
      </c>
      <c r="Z45" s="31" t="str">
        <f t="shared" si="15"/>
        <v>КПСИХОЛОГИИ</v>
      </c>
      <c r="AA45" s="175" t="e">
        <f t="shared" si="18"/>
        <v>#DIV/0!</v>
      </c>
    </row>
    <row r="46" spans="1:27" s="534" customFormat="1" ht="28.5" x14ac:dyDescent="0.25">
      <c r="A46" s="223" t="str">
        <f t="shared" si="13"/>
        <v>Институт среднего профессионального образования</v>
      </c>
      <c r="B46" s="92">
        <v>42</v>
      </c>
      <c r="C46" s="175" t="e">
        <f t="shared" ref="C46:K47" si="24">IF(C36=0,0,TEXT(C36,"0,0")&amp;"%")</f>
        <v>#DIV/0!</v>
      </c>
      <c r="D46" s="175" t="e">
        <f t="shared" si="24"/>
        <v>#DIV/0!</v>
      </c>
      <c r="E46" s="175" t="e">
        <f t="shared" si="24"/>
        <v>#DIV/0!</v>
      </c>
      <c r="F46" s="175" t="e">
        <f t="shared" si="24"/>
        <v>#DIV/0!</v>
      </c>
      <c r="G46" s="175" t="e">
        <f t="shared" si="24"/>
        <v>#DIV/0!</v>
      </c>
      <c r="H46" s="175" t="e">
        <f t="shared" si="24"/>
        <v>#DIV/0!</v>
      </c>
      <c r="I46" s="175" t="e">
        <f t="shared" si="24"/>
        <v>#DIV/0!</v>
      </c>
      <c r="J46" s="175" t="e">
        <f t="shared" si="24"/>
        <v>#REF!</v>
      </c>
      <c r="K46" s="175">
        <f t="shared" si="24"/>
        <v>0</v>
      </c>
      <c r="L46" s="493"/>
      <c r="M46" s="166"/>
      <c r="N46" s="166"/>
      <c r="O46" s="166"/>
      <c r="P46" s="166"/>
      <c r="Q46" s="166"/>
      <c r="R46" s="166"/>
      <c r="S46" s="166"/>
      <c r="T46" s="166"/>
      <c r="U46" s="166"/>
      <c r="V46" s="493"/>
      <c r="W46" s="175" t="e">
        <f t="shared" si="17"/>
        <v>#DIV/0!</v>
      </c>
      <c r="X46" s="166"/>
      <c r="Y46" s="31" t="s">
        <v>41</v>
      </c>
      <c r="Z46" s="31" t="str">
        <f t="shared" si="15"/>
        <v>СПО</v>
      </c>
      <c r="AA46" s="175" t="e">
        <f t="shared" si="18"/>
        <v>#DIV/0!</v>
      </c>
    </row>
    <row r="47" spans="1:27" x14ac:dyDescent="0.25">
      <c r="A47" s="223" t="str">
        <f t="shared" si="13"/>
        <v>Факультет иностранных студентов</v>
      </c>
      <c r="B47" s="92">
        <v>43</v>
      </c>
      <c r="C47" s="175" t="e">
        <f t="shared" ref="C47:H47" si="25">IF(C37=0,0,TEXT(C37,"0,0")&amp;"%")</f>
        <v>#DIV/0!</v>
      </c>
      <c r="D47" s="175" t="e">
        <f t="shared" si="25"/>
        <v>#DIV/0!</v>
      </c>
      <c r="E47" s="175" t="e">
        <f t="shared" si="25"/>
        <v>#DIV/0!</v>
      </c>
      <c r="F47" s="175" t="e">
        <f t="shared" si="25"/>
        <v>#DIV/0!</v>
      </c>
      <c r="G47" s="175" t="e">
        <f t="shared" si="25"/>
        <v>#DIV/0!</v>
      </c>
      <c r="H47" s="175" t="e">
        <f t="shared" si="25"/>
        <v>#DIV/0!</v>
      </c>
      <c r="I47" s="175" t="e">
        <f t="shared" si="24"/>
        <v>#DIV/0!</v>
      </c>
      <c r="J47" s="175">
        <f t="shared" si="24"/>
        <v>0</v>
      </c>
      <c r="K47" s="175">
        <f t="shared" si="24"/>
        <v>0</v>
      </c>
      <c r="L47" s="493"/>
      <c r="M47" s="166"/>
      <c r="N47" s="166"/>
      <c r="O47" s="166"/>
      <c r="P47" s="166"/>
      <c r="Q47" s="166"/>
      <c r="R47" s="166"/>
      <c r="S47" s="166"/>
      <c r="T47" s="166"/>
      <c r="U47" s="166"/>
      <c r="V47" s="493"/>
      <c r="W47" s="175" t="e">
        <f t="shared" si="17"/>
        <v>#DIV/0!</v>
      </c>
      <c r="X47" s="166"/>
      <c r="Y47" s="31" t="s">
        <v>41</v>
      </c>
      <c r="Z47" s="31" t="str">
        <f t="shared" si="15"/>
        <v>ФИС</v>
      </c>
      <c r="AA47" s="175" t="e">
        <f t="shared" si="18"/>
        <v>#DIV/0!</v>
      </c>
    </row>
    <row r="49" spans="1:4" x14ac:dyDescent="0.25">
      <c r="D49" s="745"/>
    </row>
    <row r="53" spans="1:4" ht="18" x14ac:dyDescent="0.25">
      <c r="A53" s="110"/>
    </row>
    <row r="54" spans="1:4" ht="18" x14ac:dyDescent="0.25">
      <c r="A54" s="110"/>
    </row>
    <row r="55" spans="1:4" ht="18" x14ac:dyDescent="0.25">
      <c r="A55" s="110"/>
    </row>
    <row r="56" spans="1:4" ht="18" x14ac:dyDescent="0.25">
      <c r="A56" s="110"/>
    </row>
    <row r="57" spans="1:4" ht="18" x14ac:dyDescent="0.25">
      <c r="A57" s="110"/>
    </row>
    <row r="58" spans="1:4" ht="18" x14ac:dyDescent="0.25">
      <c r="A58" s="110"/>
    </row>
    <row r="59" spans="1:4" ht="18" x14ac:dyDescent="0.25">
      <c r="A59" s="110"/>
    </row>
    <row r="60" spans="1:4" ht="18" x14ac:dyDescent="0.25">
      <c r="A60" s="110"/>
    </row>
    <row r="61" spans="1:4" ht="18" x14ac:dyDescent="0.25">
      <c r="A61" s="110"/>
    </row>
    <row r="62" spans="1:4" ht="18" x14ac:dyDescent="0.25">
      <c r="A62" s="110"/>
    </row>
    <row r="63" spans="1:4" ht="18" x14ac:dyDescent="0.25">
      <c r="A63" s="110"/>
    </row>
    <row r="64" spans="1:4" ht="18" x14ac:dyDescent="0.25">
      <c r="A64" s="110"/>
    </row>
    <row r="65" spans="1:1" ht="18" x14ac:dyDescent="0.25">
      <c r="A65" s="110"/>
    </row>
    <row r="66" spans="1:1" ht="18" x14ac:dyDescent="0.25">
      <c r="A66" s="110"/>
    </row>
    <row r="67" spans="1:1" ht="18" x14ac:dyDescent="0.25">
      <c r="A67" s="110"/>
    </row>
    <row r="68" spans="1:1" ht="18" x14ac:dyDescent="0.25">
      <c r="A68" s="110"/>
    </row>
    <row r="69" spans="1:1" ht="18" x14ac:dyDescent="0.25">
      <c r="A69" s="110"/>
    </row>
    <row r="70" spans="1:1" ht="18" x14ac:dyDescent="0.25">
      <c r="A70" s="110"/>
    </row>
    <row r="71" spans="1:1" ht="18" x14ac:dyDescent="0.25">
      <c r="A71" s="110"/>
    </row>
    <row r="72" spans="1:1" ht="18" x14ac:dyDescent="0.25">
      <c r="A72" s="110"/>
    </row>
    <row r="73" spans="1:1" ht="18" x14ac:dyDescent="0.25">
      <c r="A73" s="110"/>
    </row>
    <row r="74" spans="1:1" ht="18" x14ac:dyDescent="0.25">
      <c r="A74" s="110"/>
    </row>
    <row r="75" spans="1:1" ht="18" x14ac:dyDescent="0.25">
      <c r="A75" s="110"/>
    </row>
    <row r="76" spans="1:1" ht="18" x14ac:dyDescent="0.25">
      <c r="A76" s="110"/>
    </row>
    <row r="77" spans="1:1" ht="18" x14ac:dyDescent="0.25">
      <c r="A77" s="110"/>
    </row>
    <row r="78" spans="1:1" ht="18" x14ac:dyDescent="0.25">
      <c r="A78" s="110"/>
    </row>
    <row r="85" spans="1:26" ht="15.75" thickBot="1" x14ac:dyDescent="0.3">
      <c r="A85" s="111"/>
      <c r="B85" s="111"/>
      <c r="C85" s="111"/>
      <c r="D85" s="111"/>
      <c r="E85" s="112"/>
      <c r="F85" s="111"/>
      <c r="G85" s="111"/>
      <c r="H85" s="111"/>
      <c r="I85" s="111"/>
      <c r="J85" s="111"/>
      <c r="K85" s="111"/>
      <c r="L85" s="494"/>
      <c r="M85" s="111"/>
      <c r="N85" s="111"/>
      <c r="O85" s="111"/>
      <c r="P85" s="111"/>
      <c r="Q85" s="111"/>
      <c r="R85" s="111"/>
      <c r="S85" s="111"/>
      <c r="T85" s="111"/>
      <c r="U85" s="111"/>
      <c r="V85" s="494"/>
      <c r="W85" s="111"/>
      <c r="X85" s="111"/>
      <c r="Y85" s="111"/>
      <c r="Z85" s="111"/>
    </row>
    <row r="90" spans="1:26" x14ac:dyDescent="0.25">
      <c r="A90" s="114"/>
      <c r="B90" s="114"/>
      <c r="C90" s="114"/>
      <c r="D90" s="114"/>
      <c r="F90" s="114"/>
      <c r="G90" s="114"/>
      <c r="H90" s="114"/>
      <c r="I90" s="114"/>
      <c r="J90" s="114"/>
      <c r="K90" s="114"/>
      <c r="M90" s="114"/>
      <c r="N90" s="114"/>
      <c r="O90" s="114"/>
      <c r="P90" s="114"/>
      <c r="Q90" s="114"/>
      <c r="R90" s="114"/>
      <c r="S90" s="114"/>
      <c r="T90" s="114"/>
      <c r="U90" s="114"/>
      <c r="W90" s="114"/>
      <c r="X90" s="114"/>
      <c r="Y90" s="114"/>
      <c r="Z90" s="114"/>
    </row>
    <row r="92" spans="1:26" x14ac:dyDescent="0.25">
      <c r="A92" s="116" t="s">
        <v>14</v>
      </c>
    </row>
    <row r="93" spans="1:26" x14ac:dyDescent="0.25">
      <c r="A93" s="121" t="s">
        <v>39</v>
      </c>
    </row>
    <row r="94" spans="1:26" x14ac:dyDescent="0.25">
      <c r="A94" s="58" t="s">
        <v>13</v>
      </c>
    </row>
    <row r="95" spans="1:26" x14ac:dyDescent="0.25">
      <c r="A95" s="58" t="s">
        <v>14</v>
      </c>
    </row>
    <row r="96" spans="1:26" x14ac:dyDescent="0.25">
      <c r="A96" s="126" t="s">
        <v>39</v>
      </c>
      <c r="B96" s="127"/>
      <c r="C96" s="127"/>
      <c r="D96" s="127"/>
      <c r="F96" s="127"/>
      <c r="G96" s="127"/>
      <c r="H96" s="127"/>
      <c r="I96" s="127"/>
      <c r="J96" s="127"/>
      <c r="K96" s="127"/>
      <c r="M96" s="127"/>
      <c r="N96" s="127"/>
      <c r="O96" s="127"/>
      <c r="P96" s="127"/>
      <c r="Q96" s="127"/>
      <c r="R96" s="127"/>
      <c r="S96" s="127"/>
      <c r="T96" s="127"/>
      <c r="U96" s="127"/>
      <c r="W96" s="127"/>
      <c r="X96" s="127"/>
      <c r="Y96" s="127"/>
      <c r="Z96" s="127"/>
    </row>
    <row r="97" spans="1:26" x14ac:dyDescent="0.25">
      <c r="A97" s="67" t="s">
        <v>8</v>
      </c>
    </row>
    <row r="99" spans="1:26" x14ac:dyDescent="0.25">
      <c r="A99" s="58" t="s">
        <v>13</v>
      </c>
      <c r="B99" s="64"/>
      <c r="C99" s="64"/>
      <c r="D99" s="64"/>
      <c r="F99" s="64"/>
      <c r="G99" s="64"/>
      <c r="H99" s="64"/>
      <c r="I99" s="64"/>
      <c r="J99" s="64"/>
      <c r="K99" s="64"/>
      <c r="M99" s="64"/>
      <c r="N99" s="64"/>
      <c r="O99" s="64"/>
      <c r="P99" s="64"/>
      <c r="Q99" s="64"/>
      <c r="R99" s="64"/>
      <c r="S99" s="64"/>
      <c r="T99" s="64"/>
      <c r="U99" s="64"/>
      <c r="W99" s="64"/>
      <c r="X99" s="64"/>
      <c r="Y99" s="64"/>
      <c r="Z99" s="64"/>
    </row>
    <row r="100" spans="1:26" x14ac:dyDescent="0.25">
      <c r="A100" s="130" t="s">
        <v>14</v>
      </c>
      <c r="B100" s="64"/>
      <c r="C100" s="64"/>
      <c r="D100" s="64"/>
      <c r="F100" s="64"/>
      <c r="G100" s="64"/>
      <c r="H100" s="64"/>
      <c r="I100" s="64"/>
      <c r="J100" s="64"/>
      <c r="K100" s="64"/>
      <c r="M100" s="64"/>
      <c r="N100" s="64"/>
      <c r="O100" s="64"/>
      <c r="P100" s="64"/>
      <c r="Q100" s="64"/>
      <c r="R100" s="64"/>
      <c r="S100" s="64"/>
      <c r="T100" s="64"/>
      <c r="U100" s="64"/>
      <c r="W100" s="64"/>
      <c r="X100" s="64"/>
      <c r="Y100" s="64"/>
      <c r="Z100" s="64"/>
    </row>
    <row r="101" spans="1:26" x14ac:dyDescent="0.25">
      <c r="A101" s="126" t="s">
        <v>39</v>
      </c>
      <c r="B101" s="127"/>
      <c r="C101" s="127"/>
      <c r="D101" s="127"/>
      <c r="F101" s="127"/>
      <c r="G101" s="127"/>
      <c r="H101" s="127"/>
      <c r="I101" s="127"/>
      <c r="J101" s="127"/>
      <c r="K101" s="127"/>
      <c r="M101" s="127"/>
      <c r="N101" s="127"/>
      <c r="O101" s="127"/>
      <c r="P101" s="127"/>
      <c r="Q101" s="127"/>
      <c r="R101" s="127"/>
      <c r="S101" s="127"/>
      <c r="T101" s="127"/>
      <c r="U101" s="127"/>
      <c r="W101" s="127"/>
      <c r="X101" s="127"/>
      <c r="Y101" s="127"/>
      <c r="Z101" s="127"/>
    </row>
    <row r="102" spans="1:26" x14ac:dyDescent="0.25">
      <c r="A102" s="67" t="s">
        <v>8</v>
      </c>
      <c r="B102" s="70"/>
      <c r="C102" s="70"/>
      <c r="D102" s="70"/>
      <c r="F102" s="70"/>
      <c r="G102" s="70"/>
      <c r="H102" s="70"/>
      <c r="I102" s="70"/>
      <c r="J102" s="70"/>
      <c r="K102" s="70"/>
      <c r="M102" s="70"/>
      <c r="N102" s="70"/>
      <c r="O102" s="70"/>
      <c r="P102" s="70"/>
      <c r="Q102" s="70"/>
      <c r="R102" s="70"/>
      <c r="S102" s="70"/>
      <c r="T102" s="70"/>
      <c r="U102" s="70"/>
      <c r="W102" s="70"/>
      <c r="X102" s="70"/>
      <c r="Y102" s="70"/>
      <c r="Z102" s="70"/>
    </row>
    <row r="104" spans="1:26" x14ac:dyDescent="0.25">
      <c r="A104" s="58" t="s">
        <v>13</v>
      </c>
      <c r="B104" s="64"/>
      <c r="C104" s="64"/>
      <c r="D104" s="64"/>
      <c r="F104" s="64"/>
      <c r="G104" s="64"/>
      <c r="H104" s="64"/>
      <c r="I104" s="64"/>
      <c r="J104" s="64"/>
      <c r="K104" s="64"/>
      <c r="M104" s="64"/>
      <c r="N104" s="64"/>
      <c r="O104" s="64"/>
      <c r="P104" s="64"/>
      <c r="Q104" s="64"/>
      <c r="R104" s="64"/>
      <c r="S104" s="64"/>
      <c r="T104" s="64"/>
      <c r="U104" s="64"/>
      <c r="W104" s="64"/>
      <c r="X104" s="64"/>
      <c r="Y104" s="64"/>
      <c r="Z104" s="64"/>
    </row>
    <row r="105" spans="1:26" x14ac:dyDescent="0.25">
      <c r="A105" s="130" t="s">
        <v>14</v>
      </c>
      <c r="B105" s="64"/>
      <c r="C105" s="64"/>
      <c r="D105" s="64"/>
      <c r="F105" s="64"/>
      <c r="G105" s="64"/>
      <c r="H105" s="64"/>
      <c r="I105" s="64"/>
      <c r="J105" s="64"/>
      <c r="K105" s="64"/>
      <c r="M105" s="64"/>
      <c r="N105" s="64"/>
      <c r="O105" s="64"/>
      <c r="P105" s="64"/>
      <c r="Q105" s="64"/>
      <c r="R105" s="64"/>
      <c r="S105" s="64"/>
      <c r="T105" s="64"/>
      <c r="U105" s="64"/>
      <c r="W105" s="64"/>
      <c r="X105" s="64"/>
      <c r="Y105" s="64"/>
      <c r="Z105" s="64"/>
    </row>
    <row r="106" spans="1:26" x14ac:dyDescent="0.25">
      <c r="A106" s="126" t="s">
        <v>39</v>
      </c>
      <c r="B106" s="127"/>
      <c r="C106" s="127"/>
      <c r="D106" s="127"/>
      <c r="F106" s="127"/>
      <c r="G106" s="127"/>
      <c r="H106" s="127"/>
      <c r="I106" s="127"/>
      <c r="J106" s="127"/>
      <c r="K106" s="127"/>
      <c r="M106" s="127"/>
      <c r="N106" s="127"/>
      <c r="O106" s="127"/>
      <c r="P106" s="127"/>
      <c r="Q106" s="127"/>
      <c r="R106" s="127"/>
      <c r="S106" s="127"/>
      <c r="T106" s="127"/>
      <c r="U106" s="127"/>
      <c r="W106" s="127"/>
      <c r="X106" s="127"/>
      <c r="Y106" s="127"/>
      <c r="Z106" s="127"/>
    </row>
    <row r="107" spans="1:26" x14ac:dyDescent="0.25">
      <c r="A107" s="67" t="s">
        <v>8</v>
      </c>
      <c r="B107" s="70"/>
      <c r="C107" s="70"/>
      <c r="D107" s="70"/>
      <c r="F107" s="70"/>
      <c r="G107" s="70"/>
      <c r="H107" s="70"/>
      <c r="I107" s="70"/>
      <c r="J107" s="70"/>
      <c r="K107" s="70"/>
      <c r="M107" s="70"/>
      <c r="N107" s="70"/>
      <c r="O107" s="70"/>
      <c r="P107" s="70"/>
      <c r="Q107" s="70"/>
      <c r="R107" s="70"/>
      <c r="S107" s="70"/>
      <c r="T107" s="70"/>
      <c r="U107" s="70"/>
      <c r="W107" s="70"/>
      <c r="X107" s="70"/>
      <c r="Y107" s="70"/>
      <c r="Z107" s="70"/>
    </row>
    <row r="109" spans="1:26" x14ac:dyDescent="0.25">
      <c r="A109" s="58" t="s">
        <v>13</v>
      </c>
      <c r="B109" s="64"/>
      <c r="C109" s="64"/>
      <c r="D109" s="64"/>
      <c r="F109" s="64"/>
      <c r="G109" s="64"/>
      <c r="H109" s="64"/>
      <c r="I109" s="64"/>
      <c r="J109" s="64"/>
      <c r="K109" s="64"/>
      <c r="M109" s="64"/>
      <c r="N109" s="64"/>
      <c r="O109" s="64"/>
      <c r="P109" s="64"/>
      <c r="Q109" s="64"/>
      <c r="R109" s="64"/>
      <c r="S109" s="64"/>
      <c r="T109" s="64"/>
      <c r="U109" s="64"/>
      <c r="W109" s="64"/>
      <c r="X109" s="64"/>
      <c r="Y109" s="64"/>
      <c r="Z109" s="64"/>
    </row>
    <row r="110" spans="1:26" x14ac:dyDescent="0.25">
      <c r="A110" s="130" t="s">
        <v>14</v>
      </c>
      <c r="B110" s="64"/>
      <c r="C110" s="64"/>
      <c r="D110" s="64"/>
      <c r="F110" s="64"/>
      <c r="G110" s="64"/>
      <c r="H110" s="64"/>
      <c r="I110" s="64"/>
      <c r="J110" s="64"/>
      <c r="K110" s="64"/>
      <c r="M110" s="64"/>
      <c r="N110" s="64"/>
      <c r="O110" s="64"/>
      <c r="P110" s="64"/>
      <c r="Q110" s="64"/>
      <c r="R110" s="64"/>
      <c r="S110" s="64"/>
      <c r="T110" s="64"/>
      <c r="U110" s="64"/>
      <c r="W110" s="64"/>
      <c r="X110" s="64"/>
      <c r="Y110" s="64"/>
      <c r="Z110" s="64"/>
    </row>
    <row r="111" spans="1:26" x14ac:dyDescent="0.25">
      <c r="A111" s="126" t="s">
        <v>39</v>
      </c>
      <c r="B111" s="127"/>
      <c r="C111" s="127"/>
      <c r="D111" s="127"/>
      <c r="F111" s="127"/>
      <c r="G111" s="127"/>
      <c r="H111" s="127"/>
      <c r="I111" s="127"/>
      <c r="J111" s="127"/>
      <c r="K111" s="127"/>
      <c r="M111" s="127"/>
      <c r="N111" s="127"/>
      <c r="O111" s="127"/>
      <c r="P111" s="127"/>
      <c r="Q111" s="127"/>
      <c r="R111" s="127"/>
      <c r="S111" s="127"/>
      <c r="T111" s="127"/>
      <c r="U111" s="127"/>
      <c r="W111" s="127"/>
      <c r="X111" s="127"/>
      <c r="Y111" s="127"/>
      <c r="Z111" s="127"/>
    </row>
    <row r="112" spans="1:26" x14ac:dyDescent="0.25">
      <c r="A112" s="67" t="s">
        <v>8</v>
      </c>
      <c r="B112" s="70"/>
      <c r="C112" s="70"/>
      <c r="D112" s="70"/>
      <c r="F112" s="70"/>
      <c r="G112" s="70"/>
      <c r="H112" s="70"/>
      <c r="I112" s="70"/>
      <c r="J112" s="70"/>
      <c r="K112" s="70"/>
      <c r="M112" s="70"/>
      <c r="N112" s="70"/>
      <c r="O112" s="70"/>
      <c r="P112" s="70"/>
      <c r="Q112" s="70"/>
      <c r="R112" s="70"/>
      <c r="S112" s="70"/>
      <c r="T112" s="70"/>
      <c r="U112" s="70"/>
      <c r="W112" s="70"/>
      <c r="X112" s="70"/>
      <c r="Y112" s="70"/>
      <c r="Z112" s="70"/>
    </row>
    <row r="114" spans="1:26" x14ac:dyDescent="0.25">
      <c r="A114" s="58" t="s">
        <v>13</v>
      </c>
      <c r="B114" s="64"/>
      <c r="C114" s="64"/>
      <c r="D114" s="64"/>
      <c r="F114" s="64"/>
      <c r="G114" s="64"/>
      <c r="H114" s="64"/>
      <c r="I114" s="64"/>
      <c r="J114" s="64"/>
      <c r="K114" s="64"/>
      <c r="M114" s="64"/>
      <c r="N114" s="64"/>
      <c r="O114" s="64"/>
      <c r="P114" s="64"/>
      <c r="Q114" s="64"/>
      <c r="R114" s="64"/>
      <c r="S114" s="64"/>
      <c r="T114" s="64"/>
      <c r="U114" s="64"/>
      <c r="W114" s="64"/>
      <c r="X114" s="64"/>
      <c r="Y114" s="64"/>
      <c r="Z114" s="64"/>
    </row>
    <row r="115" spans="1:26" x14ac:dyDescent="0.25">
      <c r="A115" s="130" t="s">
        <v>14</v>
      </c>
      <c r="B115" s="64"/>
      <c r="C115" s="64"/>
      <c r="D115" s="64"/>
      <c r="F115" s="64"/>
      <c r="G115" s="64"/>
      <c r="H115" s="64"/>
      <c r="I115" s="64"/>
      <c r="J115" s="64"/>
      <c r="K115" s="64"/>
      <c r="M115" s="64"/>
      <c r="N115" s="64"/>
      <c r="O115" s="64"/>
      <c r="P115" s="64"/>
      <c r="Q115" s="64"/>
      <c r="R115" s="64"/>
      <c r="S115" s="64"/>
      <c r="T115" s="64"/>
      <c r="U115" s="64"/>
      <c r="W115" s="64"/>
      <c r="X115" s="64"/>
      <c r="Y115" s="64"/>
      <c r="Z115" s="64"/>
    </row>
    <row r="116" spans="1:26" x14ac:dyDescent="0.25">
      <c r="A116" s="126" t="s">
        <v>39</v>
      </c>
      <c r="B116" s="127"/>
      <c r="C116" s="127"/>
      <c r="D116" s="127"/>
      <c r="F116" s="127"/>
      <c r="G116" s="127"/>
      <c r="H116" s="127"/>
      <c r="I116" s="127"/>
      <c r="J116" s="127"/>
      <c r="K116" s="127"/>
      <c r="M116" s="127"/>
      <c r="N116" s="127"/>
      <c r="O116" s="127"/>
      <c r="P116" s="127"/>
      <c r="Q116" s="127"/>
      <c r="R116" s="127"/>
      <c r="S116" s="127"/>
      <c r="T116" s="127"/>
      <c r="U116" s="127"/>
      <c r="W116" s="127"/>
      <c r="X116" s="127"/>
      <c r="Y116" s="127"/>
      <c r="Z116" s="127"/>
    </row>
    <row r="117" spans="1:26" x14ac:dyDescent="0.25">
      <c r="A117" s="67" t="s">
        <v>8</v>
      </c>
      <c r="B117" s="70"/>
      <c r="C117" s="70"/>
      <c r="D117" s="70"/>
      <c r="F117" s="70"/>
      <c r="G117" s="70"/>
      <c r="H117" s="70"/>
      <c r="I117" s="70"/>
      <c r="J117" s="70"/>
      <c r="K117" s="70"/>
      <c r="M117" s="70"/>
      <c r="N117" s="70"/>
      <c r="O117" s="70"/>
      <c r="P117" s="70"/>
      <c r="Q117" s="70"/>
      <c r="R117" s="70"/>
      <c r="S117" s="70"/>
      <c r="T117" s="70"/>
      <c r="U117" s="70"/>
      <c r="W117" s="70"/>
      <c r="X117" s="70"/>
      <c r="Y117" s="70"/>
      <c r="Z117" s="70"/>
    </row>
    <row r="119" spans="1:26" x14ac:dyDescent="0.25">
      <c r="A119" s="58" t="s">
        <v>13</v>
      </c>
      <c r="B119" s="64"/>
      <c r="C119" s="64"/>
      <c r="D119" s="64"/>
      <c r="F119" s="64"/>
      <c r="G119" s="64"/>
      <c r="H119" s="64"/>
      <c r="I119" s="64"/>
      <c r="J119" s="64"/>
      <c r="K119" s="64"/>
      <c r="M119" s="64"/>
      <c r="N119" s="64"/>
      <c r="O119" s="64"/>
      <c r="P119" s="64"/>
      <c r="Q119" s="64"/>
      <c r="R119" s="64"/>
      <c r="S119" s="64"/>
      <c r="T119" s="64"/>
      <c r="U119" s="64"/>
      <c r="W119" s="64"/>
      <c r="X119" s="64"/>
      <c r="Y119" s="64"/>
      <c r="Z119" s="64"/>
    </row>
    <row r="120" spans="1:26" x14ac:dyDescent="0.25">
      <c r="A120" s="130" t="s">
        <v>14</v>
      </c>
      <c r="B120" s="64"/>
      <c r="C120" s="64"/>
      <c r="D120" s="64"/>
      <c r="F120" s="64"/>
      <c r="G120" s="64"/>
      <c r="H120" s="64"/>
      <c r="I120" s="64"/>
      <c r="J120" s="64"/>
      <c r="K120" s="64"/>
      <c r="M120" s="64"/>
      <c r="N120" s="64"/>
      <c r="O120" s="64"/>
      <c r="P120" s="64"/>
      <c r="Q120" s="64"/>
      <c r="R120" s="64"/>
      <c r="S120" s="64"/>
      <c r="T120" s="64"/>
      <c r="U120" s="64"/>
      <c r="W120" s="64"/>
      <c r="X120" s="64"/>
      <c r="Y120" s="64"/>
      <c r="Z120" s="64"/>
    </row>
    <row r="121" spans="1:26" x14ac:dyDescent="0.25">
      <c r="A121" s="126" t="s">
        <v>39</v>
      </c>
      <c r="B121" s="127"/>
      <c r="C121" s="127"/>
      <c r="D121" s="127"/>
      <c r="F121" s="127"/>
      <c r="G121" s="127"/>
      <c r="H121" s="127"/>
      <c r="I121" s="127"/>
      <c r="J121" s="127"/>
      <c r="K121" s="127"/>
      <c r="M121" s="127"/>
      <c r="N121" s="127"/>
      <c r="O121" s="127"/>
      <c r="P121" s="127"/>
      <c r="Q121" s="127"/>
      <c r="R121" s="127"/>
      <c r="S121" s="127"/>
      <c r="T121" s="127"/>
      <c r="U121" s="127"/>
      <c r="W121" s="127"/>
      <c r="X121" s="127"/>
      <c r="Y121" s="127"/>
      <c r="Z121" s="127"/>
    </row>
    <row r="122" spans="1:26" x14ac:dyDescent="0.25">
      <c r="A122" s="67" t="s">
        <v>8</v>
      </c>
      <c r="B122" s="70"/>
      <c r="C122" s="70"/>
      <c r="D122" s="70"/>
      <c r="F122" s="70"/>
      <c r="G122" s="70"/>
      <c r="H122" s="70"/>
      <c r="I122" s="70"/>
      <c r="J122" s="70"/>
      <c r="K122" s="70"/>
      <c r="M122" s="70"/>
      <c r="N122" s="70"/>
      <c r="O122" s="70"/>
      <c r="P122" s="70"/>
      <c r="Q122" s="70"/>
      <c r="R122" s="70"/>
      <c r="S122" s="70"/>
      <c r="T122" s="70"/>
      <c r="U122" s="70"/>
      <c r="W122" s="70"/>
      <c r="X122" s="70"/>
      <c r="Y122" s="70"/>
      <c r="Z122" s="70"/>
    </row>
    <row r="124" spans="1:26" x14ac:dyDescent="0.25">
      <c r="A124" s="58" t="s">
        <v>13</v>
      </c>
    </row>
    <row r="125" spans="1:26" x14ac:dyDescent="0.25">
      <c r="A125" s="58" t="s">
        <v>14</v>
      </c>
    </row>
    <row r="126" spans="1:26" x14ac:dyDescent="0.25">
      <c r="A126" s="126" t="s">
        <v>39</v>
      </c>
      <c r="B126" s="127"/>
      <c r="C126" s="127"/>
      <c r="D126" s="127"/>
      <c r="F126" s="127"/>
      <c r="G126" s="127"/>
      <c r="H126" s="127"/>
      <c r="I126" s="127"/>
      <c r="J126" s="127"/>
      <c r="K126" s="127"/>
      <c r="M126" s="127"/>
      <c r="N126" s="127"/>
      <c r="O126" s="127"/>
      <c r="P126" s="127"/>
      <c r="Q126" s="127"/>
      <c r="R126" s="127"/>
      <c r="S126" s="127"/>
      <c r="T126" s="127"/>
      <c r="U126" s="127"/>
      <c r="W126" s="127"/>
      <c r="X126" s="127"/>
      <c r="Y126" s="127"/>
      <c r="Z126" s="127"/>
    </row>
    <row r="127" spans="1:26" x14ac:dyDescent="0.25">
      <c r="A127" s="67" t="s">
        <v>8</v>
      </c>
    </row>
    <row r="132" spans="1:26" x14ac:dyDescent="0.25">
      <c r="A132" s="31" t="s">
        <v>57</v>
      </c>
    </row>
    <row r="133" spans="1:26" x14ac:dyDescent="0.25">
      <c r="A133" s="58" t="s">
        <v>13</v>
      </c>
    </row>
    <row r="134" spans="1:26" x14ac:dyDescent="0.25">
      <c r="A134" s="58" t="s">
        <v>14</v>
      </c>
    </row>
    <row r="135" spans="1:26" x14ac:dyDescent="0.25">
      <c r="A135" s="130" t="s">
        <v>14</v>
      </c>
    </row>
    <row r="136" spans="1:26" x14ac:dyDescent="0.25">
      <c r="A136" s="121" t="s">
        <v>39</v>
      </c>
      <c r="B136" s="135"/>
      <c r="C136" s="135"/>
      <c r="D136" s="135"/>
      <c r="F136" s="135"/>
      <c r="G136" s="135"/>
      <c r="H136" s="135"/>
      <c r="I136" s="135"/>
      <c r="J136" s="135"/>
      <c r="K136" s="135"/>
      <c r="M136" s="135"/>
      <c r="N136" s="135"/>
      <c r="O136" s="135"/>
      <c r="P136" s="135"/>
      <c r="Q136" s="135"/>
      <c r="R136" s="135"/>
      <c r="S136" s="135"/>
      <c r="T136" s="135"/>
      <c r="U136" s="135"/>
      <c r="W136" s="135"/>
      <c r="X136" s="135"/>
      <c r="Y136" s="135"/>
      <c r="Z136" s="135"/>
    </row>
  </sheetData>
  <conditionalFormatting sqref="A39:A47 C19:I27 C39:X47 C6:X14 C29:X37 L19:S27">
    <cfRule type="cellIs" dxfId="9" priority="23" operator="equal">
      <formula>0</formula>
    </cfRule>
  </conditionalFormatting>
  <conditionalFormatting sqref="A19:A25 A27">
    <cfRule type="cellIs" dxfId="8" priority="19" operator="equal">
      <formula>0</formula>
    </cfRule>
  </conditionalFormatting>
  <conditionalFormatting sqref="A6:A14">
    <cfRule type="cellIs" dxfId="7" priority="21" operator="equal">
      <formula>0</formula>
    </cfRule>
  </conditionalFormatting>
  <conditionalFormatting sqref="V19:X27">
    <cfRule type="cellIs" dxfId="6" priority="20" operator="equal">
      <formula>0</formula>
    </cfRule>
  </conditionalFormatting>
  <conditionalFormatting sqref="A29:A37">
    <cfRule type="cellIs" dxfId="5" priority="17" operator="equal">
      <formula>0</formula>
    </cfRule>
  </conditionalFormatting>
  <conditionalFormatting sqref="A26">
    <cfRule type="cellIs" dxfId="4" priority="5" operator="equal">
      <formula>0</formula>
    </cfRule>
  </conditionalFormatting>
  <conditionalFormatting sqref="J19:K27">
    <cfRule type="cellIs" dxfId="3" priority="4" operator="equal">
      <formula>0</formula>
    </cfRule>
  </conditionalFormatting>
  <conditionalFormatting sqref="T19:U27">
    <cfRule type="cellIs" dxfId="2" priority="3" operator="equal">
      <formula>0</formula>
    </cfRule>
  </conditionalFormatting>
  <conditionalFormatting sqref="AA39">
    <cfRule type="cellIs" dxfId="1" priority="2" operator="equal">
      <formula>0</formula>
    </cfRule>
  </conditionalFormatting>
  <conditionalFormatting sqref="AA40:AA47">
    <cfRule type="cellIs" dxfId="0" priority="1" operator="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>
    <tabColor theme="6" tint="-0.499984740745262"/>
  </sheetPr>
  <dimension ref="A1:DX123"/>
  <sheetViews>
    <sheetView topLeftCell="A5" zoomScale="70" zoomScaleNormal="70" workbookViewId="0">
      <pane xSplit="8" ySplit="10" topLeftCell="Q15" activePane="bottomRight" state="frozen"/>
      <selection activeCell="A5" sqref="A5"/>
      <selection pane="topRight" activeCell="I5" sqref="I5"/>
      <selection pane="bottomLeft" activeCell="A15" sqref="A15"/>
      <selection pane="bottomRight" activeCell="CB9" sqref="CB9"/>
    </sheetView>
  </sheetViews>
  <sheetFormatPr defaultColWidth="9.140625" defaultRowHeight="14.25" x14ac:dyDescent="0.2"/>
  <cols>
    <col min="1" max="1" width="50.7109375" style="182" customWidth="1"/>
    <col min="2" max="2" width="15.7109375" style="182" hidden="1" customWidth="1"/>
    <col min="3" max="3" width="10.28515625" style="182" customWidth="1"/>
    <col min="4" max="4" width="16.7109375" style="182" customWidth="1"/>
    <col min="5" max="5" width="5.85546875" style="182" hidden="1" customWidth="1"/>
    <col min="6" max="6" width="7.140625" style="182" hidden="1" customWidth="1"/>
    <col min="7" max="7" width="20.5703125" style="182" hidden="1" customWidth="1"/>
    <col min="8" max="8" width="22.42578125" style="182" hidden="1" customWidth="1"/>
    <col min="9" max="9" width="15.7109375" style="182" hidden="1" customWidth="1"/>
    <col min="10" max="10" width="24.140625" style="182" hidden="1" customWidth="1"/>
    <col min="11" max="11" width="18.85546875" style="182" hidden="1" customWidth="1"/>
    <col min="12" max="12" width="18.42578125" style="182" hidden="1" customWidth="1"/>
    <col min="13" max="13" width="16.5703125" style="182" hidden="1" customWidth="1"/>
    <col min="14" max="14" width="16.140625" style="182" hidden="1" customWidth="1"/>
    <col min="15" max="15" width="13.7109375" style="182" hidden="1" customWidth="1"/>
    <col min="16" max="16" width="13.85546875" style="182" hidden="1" customWidth="1"/>
    <col min="17" max="17" width="19" style="767" customWidth="1"/>
    <col min="18" max="18" width="14.140625" style="767" customWidth="1"/>
    <col min="19" max="19" width="17.5703125" style="182" customWidth="1"/>
    <col min="20" max="20" width="15.5703125" style="182" customWidth="1"/>
    <col min="21" max="21" width="10.5703125" style="182" customWidth="1"/>
    <col min="22" max="22" width="13.5703125" style="182" customWidth="1"/>
    <col min="23" max="23" width="12.7109375" style="182" customWidth="1"/>
    <col min="24" max="24" width="10.5703125" style="182" customWidth="1"/>
    <col min="25" max="25" width="16.140625" style="182" customWidth="1"/>
    <col min="26" max="26" width="13.85546875" style="182" customWidth="1"/>
    <col min="27" max="27" width="13.140625" style="182" customWidth="1"/>
    <col min="28" max="29" width="13.140625" style="182" hidden="1" customWidth="1"/>
    <col min="30" max="30" width="19.28515625" style="182" hidden="1" customWidth="1"/>
    <col min="31" max="31" width="12.5703125" style="182" customWidth="1"/>
    <col min="32" max="32" width="10.28515625" style="182" customWidth="1"/>
    <col min="33" max="33" width="10" style="182" customWidth="1"/>
    <col min="34" max="34" width="12.42578125" style="182" customWidth="1"/>
    <col min="35" max="35" width="10.42578125" style="182" customWidth="1"/>
    <col min="36" max="36" width="10" style="182" customWidth="1"/>
    <col min="37" max="39" width="9.28515625" style="182" hidden="1" customWidth="1"/>
    <col min="40" max="40" width="11.140625" style="182" hidden="1" customWidth="1"/>
    <col min="41" max="41" width="16.28515625" style="182" hidden="1" customWidth="1"/>
    <col min="42" max="43" width="14" style="182" hidden="1" customWidth="1"/>
    <col min="44" max="44" width="17.28515625" style="182" hidden="1" customWidth="1"/>
    <col min="45" max="45" width="18.28515625" style="182" hidden="1" customWidth="1"/>
    <col min="46" max="46" width="17" style="182" hidden="1" customWidth="1"/>
    <col min="47" max="47" width="9.28515625" style="182" hidden="1" customWidth="1"/>
    <col min="48" max="49" width="19.7109375" style="182" hidden="1" customWidth="1"/>
    <col min="50" max="50" width="21.85546875" style="182" hidden="1" customWidth="1"/>
    <col min="51" max="51" width="20.140625" style="182" hidden="1" customWidth="1"/>
    <col min="52" max="52" width="17" style="182" hidden="1" customWidth="1"/>
    <col min="53" max="54" width="17.85546875" style="182" hidden="1" customWidth="1"/>
    <col min="55" max="55" width="22.140625" style="182" hidden="1" customWidth="1"/>
    <col min="56" max="56" width="20.42578125" style="182" hidden="1" customWidth="1"/>
    <col min="57" max="57" width="19.42578125" style="182" hidden="1" customWidth="1"/>
    <col min="58" max="58" width="20.5703125" style="182" hidden="1" customWidth="1"/>
    <col min="59" max="59" width="14.140625" style="182" hidden="1" customWidth="1"/>
    <col min="60" max="60" width="9.28515625" style="182" hidden="1" customWidth="1"/>
    <col min="61" max="61" width="36.7109375" style="182" hidden="1" customWidth="1"/>
    <col min="62" max="62" width="12.28515625" style="182" hidden="1" customWidth="1"/>
    <col min="63" max="63" width="12.7109375" style="182" hidden="1" customWidth="1"/>
    <col min="64" max="64" width="15.7109375" style="182" hidden="1" customWidth="1"/>
    <col min="65" max="65" width="11.85546875" style="182" hidden="1" customWidth="1"/>
    <col min="66" max="66" width="9.140625" style="182" hidden="1" customWidth="1"/>
    <col min="67" max="67" width="15.5703125" style="182" hidden="1" customWidth="1"/>
    <col min="68" max="68" width="9.42578125" style="182" hidden="1" customWidth="1"/>
    <col min="69" max="69" width="12.28515625" style="182" hidden="1" customWidth="1"/>
    <col min="70" max="70" width="11" style="182" hidden="1" customWidth="1"/>
    <col min="71" max="71" width="9.42578125" style="182" hidden="1" customWidth="1"/>
    <col min="72" max="72" width="10.42578125" style="182" hidden="1" customWidth="1"/>
    <col min="73" max="73" width="12" style="182" hidden="1" customWidth="1"/>
    <col min="74" max="74" width="10" style="182" hidden="1" customWidth="1"/>
    <col min="75" max="75" width="10.5703125" style="182" hidden="1" customWidth="1"/>
    <col min="76" max="76" width="12" style="182" hidden="1" customWidth="1"/>
    <col min="77" max="79" width="9.28515625" style="182" hidden="1" customWidth="1"/>
    <col min="80" max="80" width="6.42578125" style="182" customWidth="1"/>
    <col min="81" max="81" width="16.5703125" style="260" customWidth="1"/>
    <col min="82" max="82" width="1.28515625" style="261" customWidth="1"/>
    <col min="83" max="83" width="2.42578125" style="189" customWidth="1"/>
    <col min="84" max="84" width="2.85546875" style="182" customWidth="1"/>
    <col min="85" max="85" width="16" style="182" hidden="1" customWidth="1"/>
    <col min="86" max="86" width="19.42578125" style="182" hidden="1" customWidth="1"/>
    <col min="87" max="91" width="16" style="182" hidden="1" customWidth="1"/>
    <col min="92" max="92" width="2.28515625" style="182" hidden="1" customWidth="1"/>
    <col min="93" max="95" width="10.7109375" style="182" hidden="1" customWidth="1"/>
    <col min="96" max="96" width="14" style="182" hidden="1" customWidth="1"/>
    <col min="97" max="99" width="10.7109375" style="182" hidden="1" customWidth="1"/>
    <col min="100" max="100" width="5.28515625" style="182" hidden="1" customWidth="1"/>
    <col min="101" max="101" width="15.7109375" style="182" hidden="1" customWidth="1"/>
    <col min="102" max="102" width="15.140625" style="182" hidden="1" customWidth="1"/>
    <col min="103" max="103" width="17.7109375" style="182" hidden="1" customWidth="1"/>
    <col min="104" max="104" width="5.85546875" style="182" hidden="1" customWidth="1"/>
    <col min="105" max="105" width="17.28515625" style="182" hidden="1" customWidth="1"/>
    <col min="106" max="106" width="14.85546875" style="182" hidden="1" customWidth="1"/>
    <col min="107" max="107" width="16.28515625" style="182" hidden="1" customWidth="1"/>
    <col min="108" max="108" width="3.28515625" style="189" hidden="1" customWidth="1"/>
    <col min="109" max="109" width="21.28515625" style="253" hidden="1" customWidth="1"/>
    <col min="110" max="110" width="20.140625" style="253" hidden="1" customWidth="1"/>
    <col min="111" max="111" width="21.5703125" style="253" hidden="1" customWidth="1"/>
    <col min="112" max="112" width="22.7109375" style="253" hidden="1" customWidth="1"/>
    <col min="113" max="113" width="22.28515625" style="253" hidden="1" customWidth="1"/>
    <col min="114" max="114" width="21" style="253" hidden="1" customWidth="1"/>
    <col min="115" max="115" width="22.5703125" style="253" hidden="1" customWidth="1"/>
    <col min="116" max="116" width="64" style="182" hidden="1" customWidth="1"/>
    <col min="117" max="117" width="16.7109375" style="182" hidden="1" customWidth="1"/>
    <col min="118" max="118" width="25.5703125" style="253" hidden="1" customWidth="1"/>
    <col min="119" max="119" width="14" style="253" customWidth="1"/>
    <col min="120" max="120" width="10.42578125" style="253" customWidth="1"/>
    <col min="121" max="121" width="9.85546875" style="253" customWidth="1"/>
    <col min="122" max="122" width="18.140625" style="182" customWidth="1"/>
    <col min="123" max="148" width="9.140625" style="182" customWidth="1"/>
    <col min="149" max="16384" width="9.140625" style="182"/>
  </cols>
  <sheetData>
    <row r="1" spans="1:128" s="181" customFormat="1" ht="18" hidden="1" customHeight="1" x14ac:dyDescent="0.25">
      <c r="A1" s="246" t="s">
        <v>3</v>
      </c>
      <c r="B1" s="246" t="str">
        <f>ТИТУЛ!C1</f>
        <v xml:space="preserve">Впишите название факультет </v>
      </c>
      <c r="C1" s="246"/>
      <c r="D1" s="247"/>
      <c r="E1" s="247"/>
      <c r="G1" s="601"/>
      <c r="H1" s="601"/>
      <c r="I1" s="601"/>
      <c r="J1" s="601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601"/>
      <c r="AC1" s="601"/>
      <c r="AD1" s="601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981"/>
      <c r="AW1" s="981"/>
      <c r="AX1" s="981"/>
      <c r="AY1" s="981"/>
      <c r="AZ1" s="248"/>
      <c r="BA1" s="257"/>
      <c r="BB1" s="248"/>
      <c r="CC1" s="250"/>
      <c r="CD1" s="251"/>
      <c r="CE1" s="252"/>
      <c r="CW1" s="181">
        <v>168</v>
      </c>
      <c r="CX1" s="181">
        <v>169</v>
      </c>
      <c r="CY1" s="181">
        <v>170</v>
      </c>
      <c r="DD1" s="252"/>
      <c r="DE1" s="253">
        <v>176</v>
      </c>
      <c r="DF1" s="253">
        <v>177</v>
      </c>
      <c r="DG1" s="253">
        <v>178</v>
      </c>
      <c r="DH1" s="253">
        <v>179</v>
      </c>
      <c r="DI1" s="253">
        <v>180</v>
      </c>
      <c r="DJ1" s="253">
        <v>182</v>
      </c>
      <c r="DK1" s="253">
        <v>183</v>
      </c>
      <c r="DL1" s="253">
        <v>184</v>
      </c>
      <c r="DM1" s="181">
        <v>185</v>
      </c>
      <c r="DN1" s="254">
        <v>186</v>
      </c>
      <c r="DO1" s="254"/>
      <c r="DP1" s="254"/>
      <c r="DQ1" s="254"/>
      <c r="DR1" s="254"/>
      <c r="DS1" s="254"/>
      <c r="DT1" s="254"/>
      <c r="DU1" s="254"/>
      <c r="DV1" s="254"/>
      <c r="DW1" s="254"/>
      <c r="DX1" s="254"/>
    </row>
    <row r="2" spans="1:128" ht="27" hidden="1" customHeight="1" x14ac:dyDescent="0.25">
      <c r="A2" s="246" t="s">
        <v>4</v>
      </c>
      <c r="B2" s="246" t="str">
        <f>ТИТУЛ!C2</f>
        <v>Кафедра Впишите название</v>
      </c>
      <c r="C2" s="255"/>
      <c r="D2" s="256"/>
      <c r="E2" s="256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  <c r="AS2" s="982"/>
      <c r="AT2" s="257"/>
      <c r="AU2" s="257"/>
      <c r="AV2" s="257"/>
      <c r="AW2" s="257"/>
      <c r="AX2" s="257"/>
      <c r="AY2" s="257"/>
      <c r="AZ2" s="257"/>
      <c r="BA2" s="257"/>
      <c r="BB2" s="257"/>
      <c r="BF2" s="259"/>
      <c r="CG2" s="181"/>
      <c r="CH2" s="181"/>
      <c r="CI2" s="181"/>
      <c r="CJ2" s="181"/>
      <c r="CK2" s="181"/>
      <c r="CL2" s="181"/>
      <c r="CM2" s="181"/>
      <c r="CN2" s="181"/>
      <c r="CO2" s="181"/>
      <c r="CP2" s="181"/>
      <c r="CQ2" s="181"/>
      <c r="CR2" s="181"/>
      <c r="CS2" s="181"/>
      <c r="CT2" s="181"/>
      <c r="CU2" s="181"/>
      <c r="DR2" s="253"/>
      <c r="DS2" s="253"/>
      <c r="DT2" s="253"/>
      <c r="DU2" s="253"/>
      <c r="DV2" s="253"/>
      <c r="DW2" s="253"/>
      <c r="DX2" s="253"/>
    </row>
    <row r="3" spans="1:128" ht="56.25" hidden="1" customHeight="1" x14ac:dyDescent="0.25">
      <c r="A3" s="179" t="s">
        <v>15</v>
      </c>
      <c r="B3" s="255" t="str">
        <f>ТИТУЛ!C3</f>
        <v>Да</v>
      </c>
      <c r="C3" s="255"/>
      <c r="D3" s="256"/>
      <c r="E3" s="256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7"/>
      <c r="AM3" s="257"/>
      <c r="AN3" s="257"/>
      <c r="AO3" s="257"/>
      <c r="AP3" s="257"/>
      <c r="AQ3" s="257"/>
      <c r="AR3" s="257"/>
      <c r="AS3" s="982"/>
      <c r="AT3" s="918"/>
      <c r="AU3" s="257"/>
      <c r="AV3" s="918"/>
      <c r="AW3" s="918"/>
      <c r="AX3" s="918"/>
      <c r="AY3" s="918"/>
      <c r="AZ3" s="918"/>
      <c r="BA3" s="257"/>
      <c r="BB3" s="257"/>
      <c r="BF3" s="259"/>
      <c r="BG3" s="262"/>
      <c r="CG3" s="181"/>
      <c r="CH3" s="181"/>
      <c r="CI3" s="181"/>
      <c r="CJ3" s="181"/>
      <c r="CK3" s="181"/>
      <c r="CL3" s="181"/>
      <c r="CM3" s="181"/>
      <c r="CN3" s="181"/>
      <c r="CO3" s="181"/>
      <c r="CP3" s="181"/>
      <c r="CQ3" s="181"/>
      <c r="CR3" s="181"/>
      <c r="CS3" s="181"/>
      <c r="CT3" s="181"/>
      <c r="CU3" s="181"/>
      <c r="DR3" s="253"/>
      <c r="DS3" s="253"/>
      <c r="DT3" s="253"/>
      <c r="DU3" s="253"/>
      <c r="DV3" s="253"/>
      <c r="DW3" s="253"/>
      <c r="DX3" s="253"/>
    </row>
    <row r="4" spans="1:128" s="285" customFormat="1" ht="48.75" hidden="1" customHeight="1" thickBot="1" x14ac:dyDescent="0.25">
      <c r="A4" s="347" t="s">
        <v>17</v>
      </c>
      <c r="B4" s="347" t="str">
        <f>ТИТУЛ!C4</f>
        <v>Да</v>
      </c>
      <c r="C4" s="347"/>
      <c r="D4" s="348"/>
      <c r="E4" s="348"/>
      <c r="G4" s="350"/>
      <c r="H4" s="350"/>
      <c r="I4" s="350"/>
      <c r="J4" s="350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  <c r="AJ4" s="349"/>
      <c r="AK4" s="350"/>
      <c r="AL4" s="350"/>
      <c r="AM4" s="350"/>
      <c r="AN4" s="350"/>
      <c r="AO4" s="350"/>
      <c r="AP4" s="350"/>
      <c r="AQ4" s="350"/>
      <c r="AR4" s="350"/>
      <c r="AS4" s="983"/>
      <c r="AT4" s="984"/>
      <c r="AU4" s="350"/>
      <c r="AV4" s="985"/>
      <c r="AW4" s="985"/>
      <c r="AX4" s="985"/>
      <c r="AY4" s="985"/>
      <c r="AZ4" s="984"/>
      <c r="BA4" s="350"/>
      <c r="BB4" s="350"/>
      <c r="BC4" s="350"/>
      <c r="BD4" s="350"/>
      <c r="BE4" s="350"/>
      <c r="BF4" s="983"/>
      <c r="BG4" s="984"/>
      <c r="BH4" s="350"/>
      <c r="BI4" s="350"/>
      <c r="BJ4" s="350"/>
      <c r="BK4" s="350"/>
      <c r="BL4" s="350"/>
      <c r="BM4" s="350"/>
      <c r="BN4" s="350"/>
      <c r="BO4" s="350"/>
      <c r="BP4" s="350"/>
      <c r="BQ4" s="350"/>
      <c r="BR4" s="350"/>
      <c r="BS4" s="350"/>
      <c r="BT4" s="350"/>
      <c r="BU4" s="350"/>
      <c r="BV4" s="350"/>
      <c r="BW4" s="350"/>
      <c r="BX4" s="350"/>
      <c r="BY4" s="350"/>
      <c r="BZ4" s="350"/>
      <c r="CA4" s="350"/>
      <c r="CC4" s="351"/>
      <c r="CD4" s="352"/>
      <c r="CE4" s="286"/>
      <c r="CG4" s="353" t="s">
        <v>51</v>
      </c>
      <c r="CH4" s="353" t="s">
        <v>29</v>
      </c>
      <c r="CI4" s="354" t="s">
        <v>52</v>
      </c>
      <c r="CJ4" s="353" t="s">
        <v>46</v>
      </c>
      <c r="CK4" s="353" t="s">
        <v>48</v>
      </c>
      <c r="CL4" s="353" t="s">
        <v>49</v>
      </c>
      <c r="CM4" s="353" t="s">
        <v>50</v>
      </c>
      <c r="CO4" s="353" t="s">
        <v>51</v>
      </c>
      <c r="CP4" s="353" t="s">
        <v>29</v>
      </c>
      <c r="CQ4" s="354" t="s">
        <v>52</v>
      </c>
      <c r="CR4" s="353" t="s">
        <v>46</v>
      </c>
      <c r="CS4" s="353" t="s">
        <v>48</v>
      </c>
      <c r="CT4" s="353" t="s">
        <v>49</v>
      </c>
      <c r="CU4" s="353" t="s">
        <v>50</v>
      </c>
      <c r="CW4" s="353" t="s">
        <v>55</v>
      </c>
      <c r="DA4" s="285" t="s">
        <v>56</v>
      </c>
      <c r="DD4" s="286"/>
      <c r="DE4" s="350"/>
      <c r="DF4" s="350"/>
      <c r="DG4" s="350"/>
      <c r="DH4" s="350"/>
      <c r="DI4" s="350"/>
      <c r="DJ4" s="350"/>
      <c r="DK4" s="350"/>
      <c r="DN4" s="350"/>
      <c r="DO4" s="253"/>
      <c r="DP4" s="253"/>
      <c r="DQ4" s="253"/>
      <c r="DR4" s="253"/>
      <c r="DS4" s="253"/>
      <c r="DT4" s="253"/>
      <c r="DU4" s="253"/>
      <c r="DV4" s="253"/>
      <c r="DW4" s="253"/>
      <c r="DX4" s="253"/>
    </row>
    <row r="5" spans="1:128" s="215" customFormat="1" ht="19.5" x14ac:dyDescent="0.25">
      <c r="A5" s="462" t="s">
        <v>18</v>
      </c>
      <c r="B5" s="462" t="str">
        <f>ТИТУЛ!C5</f>
        <v>Да</v>
      </c>
      <c r="C5" s="463"/>
      <c r="D5" s="414" t="s">
        <v>223</v>
      </c>
      <c r="E5" s="464"/>
      <c r="F5" s="465"/>
      <c r="G5" s="502"/>
      <c r="H5" s="502"/>
      <c r="I5" s="502"/>
      <c r="J5" s="502"/>
      <c r="K5" s="470" t="s">
        <v>242</v>
      </c>
      <c r="L5" s="466"/>
      <c r="M5" s="466"/>
      <c r="N5" s="465"/>
      <c r="O5" s="465"/>
      <c r="P5" s="465"/>
      <c r="Q5" s="465"/>
      <c r="R5" s="465"/>
      <c r="S5" s="465"/>
      <c r="T5" s="465"/>
      <c r="U5" s="465"/>
      <c r="V5" s="465"/>
      <c r="W5" s="465"/>
      <c r="X5" s="465"/>
      <c r="Y5" s="465"/>
      <c r="Z5" s="465"/>
      <c r="AA5" s="465"/>
      <c r="AB5" s="465"/>
      <c r="AC5" s="465"/>
      <c r="AD5" s="465"/>
      <c r="AE5" s="465"/>
      <c r="AF5" s="465"/>
      <c r="AG5" s="465"/>
      <c r="AH5" s="465"/>
      <c r="AI5" s="465"/>
      <c r="AJ5" s="465"/>
      <c r="AK5" s="1577" t="s">
        <v>73</v>
      </c>
      <c r="AL5" s="1577"/>
      <c r="AM5" s="1577"/>
      <c r="AN5" s="1578"/>
      <c r="AO5" s="1578"/>
      <c r="AP5" s="1578"/>
      <c r="AQ5" s="1578"/>
      <c r="AR5" s="1578"/>
      <c r="AS5" s="1578"/>
      <c r="AT5" s="465"/>
      <c r="AU5" s="465"/>
      <c r="AV5" s="470" t="s">
        <v>242</v>
      </c>
      <c r="AW5" s="461"/>
      <c r="AX5" s="461"/>
      <c r="AY5" s="461"/>
      <c r="AZ5" s="465"/>
      <c r="BA5" s="465"/>
      <c r="BB5" s="465"/>
      <c r="BC5" s="465"/>
      <c r="BD5" s="465"/>
      <c r="BE5" s="465"/>
      <c r="BF5" s="465"/>
      <c r="BG5" s="465"/>
      <c r="BH5" s="465"/>
      <c r="BI5" s="465"/>
      <c r="BJ5" s="465"/>
      <c r="BK5" s="465"/>
      <c r="BL5" s="465"/>
      <c r="BM5" s="465"/>
      <c r="BN5" s="467"/>
      <c r="BO5" s="465"/>
      <c r="BP5" s="465"/>
      <c r="BQ5" s="465"/>
      <c r="BR5" s="470" t="s">
        <v>242</v>
      </c>
      <c r="BS5" s="465"/>
      <c r="BT5" s="465"/>
      <c r="BU5" s="465"/>
      <c r="BV5" s="465"/>
      <c r="BW5" s="465"/>
      <c r="BX5" s="465"/>
      <c r="BY5" s="465"/>
      <c r="BZ5" s="465"/>
      <c r="CA5" s="465"/>
      <c r="CC5" s="468"/>
      <c r="CD5" s="317"/>
      <c r="CE5" s="313"/>
      <c r="DD5" s="313"/>
      <c r="DE5" s="318"/>
      <c r="DF5" s="318"/>
      <c r="DG5" s="318"/>
      <c r="DH5" s="318"/>
      <c r="DI5" s="318"/>
      <c r="DJ5" s="318"/>
      <c r="DK5" s="318"/>
      <c r="DN5" s="318"/>
      <c r="DO5" s="318"/>
      <c r="DP5" s="318"/>
      <c r="DQ5" s="318"/>
      <c r="DR5" s="318"/>
      <c r="DS5" s="318"/>
      <c r="DT5" s="318"/>
      <c r="DU5" s="318"/>
      <c r="DV5" s="318"/>
      <c r="DW5" s="318"/>
      <c r="DX5" s="318"/>
    </row>
    <row r="6" spans="1:128" s="257" customFormat="1" ht="23.25" x14ac:dyDescent="0.35">
      <c r="A6" s="416" t="s">
        <v>30</v>
      </c>
      <c r="B6" s="416" t="str">
        <f>ТИТУЛ!C6</f>
        <v>Нет</v>
      </c>
      <c r="C6" s="417"/>
      <c r="D6" s="443" t="s">
        <v>214</v>
      </c>
      <c r="K6" s="415" t="s">
        <v>299</v>
      </c>
      <c r="AE6" s="418"/>
      <c r="AF6" s="418"/>
      <c r="AG6" s="418"/>
      <c r="AH6" s="418"/>
      <c r="AI6" s="418"/>
      <c r="AJ6" s="418"/>
      <c r="AK6" s="1574" t="s">
        <v>77</v>
      </c>
      <c r="AL6" s="1574"/>
      <c r="AM6" s="1574"/>
      <c r="AN6" s="417"/>
      <c r="AO6" s="417"/>
      <c r="AP6" s="417"/>
      <c r="AQ6" s="417"/>
      <c r="AR6" s="1574"/>
      <c r="AS6" s="417"/>
      <c r="AV6" s="1574" t="s">
        <v>281</v>
      </c>
      <c r="AW6" s="1574"/>
      <c r="AX6" s="1574"/>
      <c r="AY6" s="1574"/>
      <c r="AZ6" s="417"/>
      <c r="BA6" s="1574"/>
      <c r="BB6" s="417"/>
      <c r="BC6" s="417"/>
      <c r="BD6" s="417"/>
      <c r="BE6" s="1574"/>
      <c r="BK6" s="254"/>
      <c r="BL6" s="254"/>
      <c r="BM6" s="253"/>
      <c r="BN6" s="782"/>
      <c r="BR6" s="411"/>
      <c r="BW6" s="918"/>
      <c r="BX6" s="713"/>
      <c r="CC6" s="419"/>
      <c r="CD6" s="420"/>
      <c r="DE6" s="253"/>
      <c r="DF6" s="253"/>
      <c r="DG6" s="253"/>
      <c r="DH6" s="253"/>
      <c r="DI6" s="253"/>
      <c r="DJ6" s="253"/>
      <c r="DK6" s="253"/>
      <c r="DN6" s="253"/>
      <c r="DO6" s="253"/>
      <c r="DP6" s="253"/>
      <c r="DQ6" s="253"/>
      <c r="DR6" s="253"/>
      <c r="DS6" s="253"/>
      <c r="DT6" s="253"/>
      <c r="DU6" s="253"/>
      <c r="DV6" s="253"/>
      <c r="DW6" s="253"/>
      <c r="DX6" s="253"/>
    </row>
    <row r="7" spans="1:128" ht="19.5" customHeight="1" x14ac:dyDescent="0.25">
      <c r="A7" s="1108" t="s">
        <v>232</v>
      </c>
      <c r="B7" s="1109"/>
      <c r="C7" s="1110">
        <f>ТИТУЛ!$C7</f>
        <v>0</v>
      </c>
      <c r="D7" s="1651" t="str">
        <f>ТИТУЛ!$B$22&amp;" квартал "&amp;ТИТУЛ!$D$22&amp;" года"</f>
        <v>2 квартал 2024 года</v>
      </c>
      <c r="E7" s="1111"/>
      <c r="F7" s="1112"/>
      <c r="G7" s="467"/>
      <c r="H7" s="1113"/>
      <c r="I7" s="1113"/>
      <c r="J7" s="1113"/>
      <c r="K7" s="1575" t="s">
        <v>165</v>
      </c>
      <c r="L7" s="1576"/>
      <c r="M7" s="1576"/>
      <c r="N7" s="1575" t="s">
        <v>165</v>
      </c>
      <c r="O7" s="1576"/>
      <c r="P7" s="1115"/>
      <c r="Q7" s="1115"/>
      <c r="R7" s="1115"/>
      <c r="S7" s="1114"/>
      <c r="T7" s="1115"/>
      <c r="U7" s="1115"/>
      <c r="V7" s="1114"/>
      <c r="W7" s="1115"/>
      <c r="X7" s="1115"/>
      <c r="Y7" s="1114"/>
      <c r="Z7" s="1115"/>
      <c r="AA7" s="1115"/>
      <c r="AB7" s="1113"/>
      <c r="AC7" s="1113"/>
      <c r="AD7" s="1113"/>
      <c r="AE7" s="1580"/>
      <c r="AF7" s="1580"/>
      <c r="AG7" s="1580"/>
      <c r="AH7" s="1580"/>
      <c r="AI7" s="1580"/>
      <c r="AJ7" s="1580"/>
      <c r="AK7" s="1575" t="s">
        <v>165</v>
      </c>
      <c r="AL7" s="1575"/>
      <c r="AM7" s="1575"/>
      <c r="AN7" s="1576"/>
      <c r="AO7" s="1575" t="s">
        <v>165</v>
      </c>
      <c r="AP7" s="1576"/>
      <c r="AQ7" s="1576"/>
      <c r="AR7" s="1575" t="s">
        <v>67</v>
      </c>
      <c r="AS7" s="1575"/>
      <c r="AT7" s="1116"/>
      <c r="AU7" s="1115"/>
      <c r="AV7" s="1575" t="s">
        <v>67</v>
      </c>
      <c r="AW7" s="1575" t="s">
        <v>67</v>
      </c>
      <c r="AX7" s="1575" t="s">
        <v>67</v>
      </c>
      <c r="AY7" s="1575" t="s">
        <v>67</v>
      </c>
      <c r="AZ7" s="1575"/>
      <c r="BA7" s="1575"/>
      <c r="BB7" s="1576"/>
      <c r="BC7" s="1576"/>
      <c r="BD7" s="1576"/>
      <c r="BE7" s="1577" t="s">
        <v>67</v>
      </c>
      <c r="BF7" s="1117"/>
      <c r="BG7" s="1117"/>
      <c r="BH7" s="1113"/>
      <c r="BI7" s="1115"/>
      <c r="BJ7" s="1115"/>
      <c r="BK7" s="1114"/>
      <c r="BL7" s="1115"/>
      <c r="BM7" s="1115"/>
      <c r="BN7" s="1115"/>
      <c r="BO7" s="1115"/>
      <c r="BP7" s="1115"/>
      <c r="BQ7" s="1115"/>
      <c r="BR7" s="1115"/>
      <c r="BS7" s="1115"/>
      <c r="BT7" s="1115"/>
      <c r="BU7" s="1118"/>
      <c r="BV7" s="1118"/>
      <c r="BW7" s="1118"/>
      <c r="BX7" s="1118"/>
      <c r="BY7" s="215"/>
      <c r="BZ7" s="1115"/>
      <c r="CA7" s="1115"/>
      <c r="CB7" s="215"/>
      <c r="CC7" s="468"/>
      <c r="DR7" s="253"/>
      <c r="DS7" s="253"/>
      <c r="DT7" s="253"/>
      <c r="DU7" s="253"/>
      <c r="DV7" s="253"/>
      <c r="DW7" s="253"/>
      <c r="DX7" s="253"/>
    </row>
    <row r="8" spans="1:128" ht="42" customHeight="1" x14ac:dyDescent="0.25">
      <c r="A8" s="1108" t="s">
        <v>32</v>
      </c>
      <c r="B8" s="1109"/>
      <c r="C8" s="1119">
        <f>C19</f>
        <v>0</v>
      </c>
      <c r="D8" s="1119"/>
      <c r="E8" s="1120"/>
      <c r="F8" s="1120"/>
      <c r="G8" s="2168" t="s">
        <v>11</v>
      </c>
      <c r="H8" s="2169"/>
      <c r="I8" s="2169"/>
      <c r="J8" s="2169"/>
      <c r="K8" s="2169"/>
      <c r="L8" s="2169"/>
      <c r="M8" s="2169"/>
      <c r="N8" s="2169"/>
      <c r="O8" s="2169"/>
      <c r="P8" s="2169"/>
      <c r="Q8" s="2170"/>
      <c r="R8" s="2170"/>
      <c r="S8" s="2169"/>
      <c r="T8" s="2169"/>
      <c r="U8" s="2169"/>
      <c r="V8" s="2169"/>
      <c r="W8" s="2169"/>
      <c r="X8" s="2169"/>
      <c r="Y8" s="2169"/>
      <c r="Z8" s="2169"/>
      <c r="AA8" s="2169"/>
      <c r="AB8" s="2169"/>
      <c r="AC8" s="2169"/>
      <c r="AD8" s="2171"/>
      <c r="AE8" s="2166" t="s">
        <v>606</v>
      </c>
      <c r="AF8" s="2167"/>
      <c r="AG8" s="2167"/>
      <c r="AH8" s="2167"/>
      <c r="AI8" s="2167"/>
      <c r="AJ8" s="2167"/>
      <c r="AK8" s="2179" t="s">
        <v>19</v>
      </c>
      <c r="AL8" s="2180"/>
      <c r="AM8" s="2180"/>
      <c r="AN8" s="2180"/>
      <c r="AO8" s="2180"/>
      <c r="AP8" s="2180"/>
      <c r="AQ8" s="2181"/>
      <c r="AR8" s="2182" t="s">
        <v>175</v>
      </c>
      <c r="AS8" s="2183"/>
      <c r="AT8" s="2183"/>
      <c r="AU8" s="2183"/>
      <c r="AV8" s="2183"/>
      <c r="AW8" s="2183"/>
      <c r="AX8" s="2183"/>
      <c r="AY8" s="2183"/>
      <c r="AZ8" s="2183"/>
      <c r="BA8" s="2183"/>
      <c r="BB8" s="2183"/>
      <c r="BC8" s="2183"/>
      <c r="BD8" s="2183"/>
      <c r="BE8" s="2183"/>
      <c r="BF8" s="2183"/>
      <c r="BG8" s="2183"/>
      <c r="BH8" s="2183"/>
      <c r="BI8" s="2184"/>
      <c r="BJ8" s="2187" t="s">
        <v>192</v>
      </c>
      <c r="BK8" s="2188"/>
      <c r="BL8" s="2188"/>
      <c r="BM8" s="2188"/>
      <c r="BN8" s="2188"/>
      <c r="BO8" s="2188"/>
      <c r="BP8" s="2188"/>
      <c r="BQ8" s="2188"/>
      <c r="BR8" s="2188"/>
      <c r="BS8" s="2188"/>
      <c r="BT8" s="2188"/>
      <c r="BU8" s="2188"/>
      <c r="BV8" s="2188"/>
      <c r="BW8" s="2188"/>
      <c r="BX8" s="2188"/>
      <c r="BY8" s="2188"/>
      <c r="BZ8" s="2188"/>
      <c r="CA8" s="2189"/>
      <c r="CB8" s="215"/>
      <c r="CC8" s="468"/>
      <c r="CG8" s="265" t="s">
        <v>66</v>
      </c>
      <c r="CH8" s="265"/>
      <c r="CI8" s="265"/>
      <c r="CJ8" s="265"/>
      <c r="CK8" s="265"/>
      <c r="CL8" s="265" t="s">
        <v>89</v>
      </c>
      <c r="CM8" s="265"/>
      <c r="CO8" s="265" t="s">
        <v>66</v>
      </c>
      <c r="CP8" s="266"/>
      <c r="CQ8" s="266"/>
      <c r="CR8" s="266"/>
      <c r="CS8" s="266"/>
      <c r="CT8" s="265" t="s">
        <v>89</v>
      </c>
      <c r="CU8" s="266"/>
      <c r="DR8" s="253"/>
      <c r="DS8" s="253"/>
      <c r="DT8" s="253"/>
      <c r="DU8" s="253"/>
      <c r="DV8" s="253"/>
      <c r="DW8" s="253"/>
      <c r="DX8" s="253"/>
    </row>
    <row r="9" spans="1:128" s="267" customFormat="1" ht="153" customHeight="1" x14ac:dyDescent="0.35">
      <c r="A9" s="2190" t="s">
        <v>644</v>
      </c>
      <c r="B9" s="2190"/>
      <c r="C9" s="2191"/>
      <c r="D9" s="1579">
        <f ca="1">NOW()</f>
        <v>45929.466219097223</v>
      </c>
      <c r="E9" s="1121"/>
      <c r="F9" s="1122"/>
      <c r="G9" s="2177" t="s">
        <v>567</v>
      </c>
      <c r="H9" s="2178"/>
      <c r="I9" s="2177" t="s">
        <v>570</v>
      </c>
      <c r="J9" s="2178"/>
      <c r="K9" s="2193" t="s">
        <v>572</v>
      </c>
      <c r="L9" s="2194"/>
      <c r="M9" s="2194"/>
      <c r="N9" s="2198" t="s">
        <v>571</v>
      </c>
      <c r="O9" s="2194"/>
      <c r="P9" s="2199"/>
      <c r="Q9" s="2185" t="s">
        <v>673</v>
      </c>
      <c r="R9" s="2186"/>
      <c r="S9" s="2200" t="s">
        <v>512</v>
      </c>
      <c r="T9" s="2201"/>
      <c r="U9" s="2202"/>
      <c r="V9" s="2174" t="s">
        <v>513</v>
      </c>
      <c r="W9" s="2175"/>
      <c r="X9" s="2176"/>
      <c r="Y9" s="2174" t="s">
        <v>622</v>
      </c>
      <c r="Z9" s="2177"/>
      <c r="AA9" s="2178"/>
      <c r="AB9" s="2177" t="s">
        <v>670</v>
      </c>
      <c r="AC9" s="2175"/>
      <c r="AD9" s="2175"/>
      <c r="AE9" s="2174" t="s">
        <v>357</v>
      </c>
      <c r="AF9" s="2175"/>
      <c r="AG9" s="2176"/>
      <c r="AH9" s="2175" t="s">
        <v>358</v>
      </c>
      <c r="AI9" s="2175"/>
      <c r="AJ9" s="2176"/>
      <c r="AK9" s="2203" t="s">
        <v>574</v>
      </c>
      <c r="AL9" s="2203"/>
      <c r="AM9" s="2203"/>
      <c r="AN9" s="2196"/>
      <c r="AO9" s="2195" t="s">
        <v>575</v>
      </c>
      <c r="AP9" s="2196"/>
      <c r="AQ9" s="2197"/>
      <c r="AR9" s="2172" t="s">
        <v>625</v>
      </c>
      <c r="AS9" s="2172"/>
      <c r="AT9" s="2172"/>
      <c r="AU9" s="2173"/>
      <c r="AV9" s="2164" t="s">
        <v>626</v>
      </c>
      <c r="AW9" s="2164"/>
      <c r="AX9" s="2164"/>
      <c r="AY9" s="2164"/>
      <c r="AZ9" s="2165"/>
      <c r="BA9" s="2164" t="s">
        <v>627</v>
      </c>
      <c r="BB9" s="2165"/>
      <c r="BC9" s="1167" t="s">
        <v>628</v>
      </c>
      <c r="BD9" s="1565" t="s">
        <v>359</v>
      </c>
      <c r="BE9" s="2172" t="s">
        <v>465</v>
      </c>
      <c r="BF9" s="2172"/>
      <c r="BG9" s="2172"/>
      <c r="BH9" s="2173"/>
      <c r="BI9" s="1167" t="s">
        <v>463</v>
      </c>
      <c r="BJ9" s="828" t="s">
        <v>241</v>
      </c>
      <c r="BK9" s="2175" t="s">
        <v>607</v>
      </c>
      <c r="BL9" s="2175"/>
      <c r="BM9" s="2176"/>
      <c r="BN9" s="2175" t="s">
        <v>608</v>
      </c>
      <c r="BO9" s="2175"/>
      <c r="BP9" s="2175"/>
      <c r="BQ9" s="2176"/>
      <c r="BR9" s="2175" t="s">
        <v>609</v>
      </c>
      <c r="BS9" s="2175"/>
      <c r="BT9" s="2175"/>
      <c r="BU9" s="2176"/>
      <c r="BV9" s="2175" t="s">
        <v>462</v>
      </c>
      <c r="BW9" s="2175"/>
      <c r="BX9" s="2176"/>
      <c r="BY9" s="2186" t="s">
        <v>610</v>
      </c>
      <c r="BZ9" s="2192"/>
      <c r="CA9" s="2192"/>
      <c r="CB9" s="1123"/>
      <c r="CC9" s="1123"/>
      <c r="CD9" s="268"/>
      <c r="CE9" s="269"/>
      <c r="CG9" s="270" t="s">
        <v>53</v>
      </c>
      <c r="CH9" s="270" t="s">
        <v>53</v>
      </c>
      <c r="CI9" s="270" t="s">
        <v>53</v>
      </c>
      <c r="CJ9" s="270" t="s">
        <v>53</v>
      </c>
      <c r="CK9" s="270" t="s">
        <v>53</v>
      </c>
      <c r="CL9" s="270" t="s">
        <v>53</v>
      </c>
      <c r="CM9" s="270" t="s">
        <v>53</v>
      </c>
      <c r="CN9" s="767"/>
      <c r="CO9" s="270" t="s">
        <v>58</v>
      </c>
      <c r="CP9" s="270" t="s">
        <v>58</v>
      </c>
      <c r="CQ9" s="270" t="s">
        <v>58</v>
      </c>
      <c r="CR9" s="270" t="s">
        <v>58</v>
      </c>
      <c r="CS9" s="270" t="s">
        <v>58</v>
      </c>
      <c r="CT9" s="270" t="s">
        <v>58</v>
      </c>
      <c r="CU9" s="270" t="s">
        <v>58</v>
      </c>
      <c r="CV9" s="271"/>
      <c r="CW9" s="271" t="s">
        <v>62</v>
      </c>
      <c r="CX9" s="271" t="s">
        <v>62</v>
      </c>
      <c r="CY9" s="271" t="s">
        <v>62</v>
      </c>
      <c r="CZ9" s="271"/>
      <c r="DA9" s="272" t="s">
        <v>63</v>
      </c>
      <c r="DB9" s="272" t="s">
        <v>63</v>
      </c>
      <c r="DC9" s="272" t="s">
        <v>63</v>
      </c>
      <c r="DD9" s="269"/>
      <c r="DE9" s="273" t="s">
        <v>41</v>
      </c>
      <c r="DF9" s="273" t="s">
        <v>41</v>
      </c>
      <c r="DG9" s="273" t="s">
        <v>41</v>
      </c>
      <c r="DH9" s="273" t="s">
        <v>41</v>
      </c>
      <c r="DI9" s="273" t="s">
        <v>41</v>
      </c>
      <c r="DJ9" s="273" t="s">
        <v>41</v>
      </c>
      <c r="DK9" s="273" t="s">
        <v>41</v>
      </c>
      <c r="DN9" s="274"/>
      <c r="DO9" s="274"/>
      <c r="DP9" s="274"/>
      <c r="DQ9" s="274"/>
      <c r="DR9" s="274"/>
      <c r="DS9" s="274"/>
      <c r="DT9" s="274"/>
      <c r="DU9" s="274"/>
      <c r="DV9" s="274"/>
      <c r="DW9" s="274"/>
      <c r="DX9" s="274"/>
    </row>
    <row r="10" spans="1:128" s="453" customFormat="1" ht="180.75" customHeight="1" thickBot="1" x14ac:dyDescent="0.25">
      <c r="A10" s="512" t="s">
        <v>234</v>
      </c>
      <c r="B10" s="513"/>
      <c r="C10" s="514" t="s">
        <v>32</v>
      </c>
      <c r="D10" s="515" t="s">
        <v>327</v>
      </c>
      <c r="E10" s="516" t="s">
        <v>119</v>
      </c>
      <c r="F10" s="858" t="s">
        <v>237</v>
      </c>
      <c r="G10" s="809" t="s">
        <v>569</v>
      </c>
      <c r="H10" s="1558" t="s">
        <v>568</v>
      </c>
      <c r="I10" s="1747" t="s">
        <v>385</v>
      </c>
      <c r="J10" s="1558" t="s">
        <v>384</v>
      </c>
      <c r="K10" s="1747" t="s">
        <v>140</v>
      </c>
      <c r="L10" s="1560" t="s">
        <v>142</v>
      </c>
      <c r="M10" s="1558" t="s">
        <v>121</v>
      </c>
      <c r="N10" s="809" t="s">
        <v>141</v>
      </c>
      <c r="O10" s="1560" t="s">
        <v>142</v>
      </c>
      <c r="P10" s="1558" t="s">
        <v>121</v>
      </c>
      <c r="Q10" s="809" t="s">
        <v>674</v>
      </c>
      <c r="R10" s="1558" t="s">
        <v>687</v>
      </c>
      <c r="S10" s="809" t="s">
        <v>427</v>
      </c>
      <c r="T10" s="1560" t="s">
        <v>428</v>
      </c>
      <c r="U10" s="1558" t="s">
        <v>121</v>
      </c>
      <c r="V10" s="809" t="s">
        <v>345</v>
      </c>
      <c r="W10" s="1560" t="s">
        <v>346</v>
      </c>
      <c r="X10" s="1558" t="s">
        <v>121</v>
      </c>
      <c r="Y10" s="809" t="s">
        <v>347</v>
      </c>
      <c r="Z10" s="1560" t="s">
        <v>573</v>
      </c>
      <c r="AA10" s="1558" t="s">
        <v>121</v>
      </c>
      <c r="AB10" s="1747" t="s">
        <v>467</v>
      </c>
      <c r="AC10" s="1560" t="s">
        <v>468</v>
      </c>
      <c r="AD10" s="1561" t="s">
        <v>429</v>
      </c>
      <c r="AE10" s="852" t="s">
        <v>298</v>
      </c>
      <c r="AF10" s="1562" t="s">
        <v>297</v>
      </c>
      <c r="AG10" s="1563" t="s">
        <v>121</v>
      </c>
      <c r="AH10" s="809" t="s">
        <v>298</v>
      </c>
      <c r="AI10" s="1562" t="s">
        <v>297</v>
      </c>
      <c r="AJ10" s="1563" t="s">
        <v>121</v>
      </c>
      <c r="AK10" s="809" t="s">
        <v>122</v>
      </c>
      <c r="AL10" s="640" t="s">
        <v>123</v>
      </c>
      <c r="AM10" s="640" t="s">
        <v>124</v>
      </c>
      <c r="AN10" s="1564" t="s">
        <v>197</v>
      </c>
      <c r="AO10" s="809" t="s">
        <v>140</v>
      </c>
      <c r="AP10" s="666" t="s">
        <v>146</v>
      </c>
      <c r="AQ10" s="1564" t="s">
        <v>121</v>
      </c>
      <c r="AR10" s="809" t="s">
        <v>631</v>
      </c>
      <c r="AS10" s="1570" t="s">
        <v>632</v>
      </c>
      <c r="AT10" s="1566" t="s">
        <v>348</v>
      </c>
      <c r="AU10" s="1567" t="s">
        <v>349</v>
      </c>
      <c r="AV10" s="809" t="s">
        <v>633</v>
      </c>
      <c r="AW10" s="640" t="s">
        <v>634</v>
      </c>
      <c r="AX10" s="1571" t="s">
        <v>514</v>
      </c>
      <c r="AY10" s="1571" t="s">
        <v>515</v>
      </c>
      <c r="AZ10" s="1567" t="s">
        <v>350</v>
      </c>
      <c r="BA10" s="1568" t="s">
        <v>635</v>
      </c>
      <c r="BB10" s="1567" t="s">
        <v>636</v>
      </c>
      <c r="BC10" s="1569" t="s">
        <v>464</v>
      </c>
      <c r="BD10" s="832" t="s">
        <v>516</v>
      </c>
      <c r="BE10" s="809" t="s">
        <v>637</v>
      </c>
      <c r="BF10" s="1570" t="s">
        <v>632</v>
      </c>
      <c r="BG10" s="1566" t="s">
        <v>351</v>
      </c>
      <c r="BH10" s="1567" t="s">
        <v>349</v>
      </c>
      <c r="BI10" s="1569" t="s">
        <v>466</v>
      </c>
      <c r="BJ10" s="1086" t="s">
        <v>352</v>
      </c>
      <c r="BK10" s="809" t="s">
        <v>353</v>
      </c>
      <c r="BL10" s="640" t="s">
        <v>354</v>
      </c>
      <c r="BM10" s="1572" t="s">
        <v>22</v>
      </c>
      <c r="BN10" s="809" t="s">
        <v>32</v>
      </c>
      <c r="BO10" s="640" t="s">
        <v>355</v>
      </c>
      <c r="BP10" s="640" t="s">
        <v>33</v>
      </c>
      <c r="BQ10" s="1572" t="s">
        <v>27</v>
      </c>
      <c r="BR10" s="809" t="s">
        <v>356</v>
      </c>
      <c r="BS10" s="640" t="s">
        <v>148</v>
      </c>
      <c r="BT10" s="640" t="s">
        <v>26</v>
      </c>
      <c r="BU10" s="1572" t="s">
        <v>34</v>
      </c>
      <c r="BV10" s="809" t="s">
        <v>448</v>
      </c>
      <c r="BW10" s="640" t="s">
        <v>449</v>
      </c>
      <c r="BX10" s="1572" t="s">
        <v>450</v>
      </c>
      <c r="BY10" s="809" t="s">
        <v>24</v>
      </c>
      <c r="BZ10" s="640" t="s">
        <v>25</v>
      </c>
      <c r="CA10" s="1559" t="s">
        <v>23</v>
      </c>
      <c r="CC10" s="517" t="s">
        <v>91</v>
      </c>
      <c r="CD10" s="268"/>
      <c r="CE10" s="518"/>
      <c r="CG10" s="519" t="s">
        <v>68</v>
      </c>
      <c r="CH10" s="519" t="s">
        <v>29</v>
      </c>
      <c r="CI10" s="519" t="s">
        <v>69</v>
      </c>
      <c r="CJ10" s="519" t="s">
        <v>70</v>
      </c>
      <c r="CK10" s="519" t="s">
        <v>71</v>
      </c>
      <c r="CL10" s="520" t="s">
        <v>72</v>
      </c>
      <c r="CM10" s="519" t="s">
        <v>12</v>
      </c>
      <c r="CO10" s="519" t="s">
        <v>68</v>
      </c>
      <c r="CP10" s="519" t="s">
        <v>29</v>
      </c>
      <c r="CQ10" s="519" t="s">
        <v>69</v>
      </c>
      <c r="CR10" s="519" t="s">
        <v>70</v>
      </c>
      <c r="CS10" s="519" t="s">
        <v>71</v>
      </c>
      <c r="CT10" s="520" t="s">
        <v>72</v>
      </c>
      <c r="CU10" s="519" t="s">
        <v>12</v>
      </c>
      <c r="CV10" s="521" t="s">
        <v>66</v>
      </c>
      <c r="CW10" s="519" t="s">
        <v>59</v>
      </c>
      <c r="CX10" s="519" t="s">
        <v>58</v>
      </c>
      <c r="CY10" s="519" t="s">
        <v>61</v>
      </c>
      <c r="CZ10" s="521" t="s">
        <v>66</v>
      </c>
      <c r="DA10" s="519" t="s">
        <v>60</v>
      </c>
      <c r="DB10" s="519" t="s">
        <v>58</v>
      </c>
      <c r="DC10" s="519" t="s">
        <v>61</v>
      </c>
      <c r="DD10" s="518"/>
      <c r="DE10" s="519" t="s">
        <v>68</v>
      </c>
      <c r="DF10" s="519" t="s">
        <v>29</v>
      </c>
      <c r="DG10" s="519" t="s">
        <v>69</v>
      </c>
      <c r="DH10" s="519" t="s">
        <v>70</v>
      </c>
      <c r="DI10" s="519" t="s">
        <v>71</v>
      </c>
      <c r="DJ10" s="520" t="s">
        <v>72</v>
      </c>
      <c r="DK10" s="519" t="s">
        <v>12</v>
      </c>
      <c r="DN10" s="156" t="s">
        <v>190</v>
      </c>
      <c r="DO10" s="522"/>
      <c r="DP10" s="522"/>
      <c r="DQ10" s="522"/>
      <c r="DR10" s="1501"/>
      <c r="DS10" s="1501"/>
      <c r="DT10" s="1501"/>
      <c r="DU10" s="1501"/>
      <c r="DV10" s="1501"/>
      <c r="DW10" s="1501"/>
      <c r="DX10" s="1501"/>
    </row>
    <row r="11" spans="1:128" s="215" customFormat="1" ht="13.5" hidden="1" customHeight="1" x14ac:dyDescent="0.2">
      <c r="A11" s="215" t="s">
        <v>54</v>
      </c>
      <c r="F11" s="823"/>
      <c r="H11" s="1649">
        <f>IF(ТИТУЛ!B22=3,1,0)</f>
        <v>0</v>
      </c>
      <c r="I11" s="707"/>
      <c r="J11" s="1648">
        <f>IF(OR(ТИТУЛ!B22=1,ТИТУЛ!B22=3),1,0)</f>
        <v>0</v>
      </c>
      <c r="M11" s="1648">
        <v>1</v>
      </c>
      <c r="P11" s="1648">
        <v>1</v>
      </c>
      <c r="Q11" s="707"/>
      <c r="R11" s="1745">
        <v>1</v>
      </c>
      <c r="U11" s="1648">
        <v>1</v>
      </c>
      <c r="X11" s="1648">
        <v>1</v>
      </c>
      <c r="AA11" s="1648">
        <v>1</v>
      </c>
      <c r="AD11" s="1647">
        <f>IF(ТИТУЛ!B22=3,1,0)</f>
        <v>0</v>
      </c>
      <c r="AE11" s="853"/>
      <c r="AG11" s="1649">
        <v>1</v>
      </c>
      <c r="AJ11" s="1649">
        <v>1</v>
      </c>
      <c r="AN11" s="1649">
        <v>1</v>
      </c>
      <c r="AQ11" s="1649">
        <v>1</v>
      </c>
      <c r="AU11" s="1649">
        <v>1</v>
      </c>
      <c r="AZ11" s="838"/>
      <c r="BA11" s="836"/>
      <c r="BB11" s="835"/>
      <c r="BC11" s="834">
        <v>0</v>
      </c>
      <c r="BD11" s="833">
        <v>0</v>
      </c>
      <c r="BH11" s="1649">
        <v>1</v>
      </c>
      <c r="BI11" s="1650">
        <v>1</v>
      </c>
      <c r="BJ11" s="823"/>
      <c r="BM11" s="1649">
        <v>1</v>
      </c>
      <c r="BQ11" s="1649">
        <v>1</v>
      </c>
      <c r="BU11" s="1649">
        <v>1</v>
      </c>
      <c r="BV11" s="318"/>
      <c r="BW11" s="318"/>
      <c r="BX11" s="1649">
        <v>1</v>
      </c>
      <c r="CA11" s="1646">
        <v>1</v>
      </c>
      <c r="CD11" s="268"/>
      <c r="CE11" s="313"/>
      <c r="DD11" s="313"/>
      <c r="DE11" s="318"/>
      <c r="DF11" s="318"/>
      <c r="DG11" s="318"/>
      <c r="DH11" s="318"/>
      <c r="DI11" s="318"/>
      <c r="DJ11" s="318"/>
      <c r="DK11" s="318"/>
      <c r="DN11" s="318"/>
      <c r="DO11" s="318"/>
      <c r="DP11" s="318"/>
      <c r="DQ11" s="318"/>
      <c r="DR11" s="318"/>
      <c r="DS11" s="318"/>
      <c r="DT11" s="318"/>
      <c r="DU11" s="318"/>
      <c r="DV11" s="318"/>
      <c r="DW11" s="318"/>
      <c r="DX11" s="318"/>
    </row>
    <row r="12" spans="1:128" s="321" customFormat="1" ht="15" hidden="1" customHeight="1" x14ac:dyDescent="0.2">
      <c r="A12" s="315"/>
      <c r="B12" s="315"/>
      <c r="C12" s="315"/>
      <c r="D12" s="315"/>
      <c r="E12" s="315"/>
      <c r="F12" s="841"/>
      <c r="G12" s="810"/>
      <c r="H12" s="813"/>
      <c r="I12" s="1753"/>
      <c r="J12" s="813"/>
      <c r="K12" s="1739"/>
      <c r="L12" s="319"/>
      <c r="M12" s="841"/>
      <c r="N12" s="810"/>
      <c r="O12" s="315"/>
      <c r="P12" s="813"/>
      <c r="Q12" s="315"/>
      <c r="R12" s="813"/>
      <c r="S12" s="1739"/>
      <c r="T12" s="319"/>
      <c r="U12" s="841"/>
      <c r="V12" s="845"/>
      <c r="W12" s="319"/>
      <c r="X12" s="841"/>
      <c r="Y12" s="845"/>
      <c r="Z12" s="319"/>
      <c r="AA12" s="841"/>
      <c r="AB12" s="1739"/>
      <c r="AC12" s="319"/>
      <c r="AD12" s="848"/>
      <c r="AE12" s="854"/>
      <c r="AF12" s="319"/>
      <c r="AG12" s="841"/>
      <c r="AH12" s="845"/>
      <c r="AI12" s="319"/>
      <c r="AJ12" s="841"/>
      <c r="AK12" s="810"/>
      <c r="AL12" s="315"/>
      <c r="AM12" s="315"/>
      <c r="AN12" s="813"/>
      <c r="AO12" s="810"/>
      <c r="AP12" s="315"/>
      <c r="AQ12" s="813"/>
      <c r="AR12" s="810"/>
      <c r="AS12" s="315"/>
      <c r="AT12" s="315"/>
      <c r="AU12" s="813"/>
      <c r="AV12" s="810"/>
      <c r="AW12" s="315"/>
      <c r="AX12" s="315"/>
      <c r="AY12" s="315"/>
      <c r="AZ12" s="813"/>
      <c r="BA12" s="810"/>
      <c r="BB12" s="813"/>
      <c r="BC12" s="825"/>
      <c r="BD12" s="825"/>
      <c r="BE12" s="810"/>
      <c r="BF12" s="315"/>
      <c r="BG12" s="315"/>
      <c r="BH12" s="813"/>
      <c r="BI12" s="825"/>
      <c r="BJ12" s="825"/>
      <c r="BK12" s="810"/>
      <c r="BL12" s="315"/>
      <c r="BM12" s="813"/>
      <c r="BN12" s="810"/>
      <c r="BO12" s="315"/>
      <c r="BP12" s="315"/>
      <c r="BQ12" s="813"/>
      <c r="BR12" s="810"/>
      <c r="BS12" s="315"/>
      <c r="BT12" s="315"/>
      <c r="BU12" s="813"/>
      <c r="BV12" s="810"/>
      <c r="BW12" s="315"/>
      <c r="BX12" s="813"/>
      <c r="BY12" s="810"/>
      <c r="BZ12" s="315"/>
      <c r="CA12" s="315"/>
      <c r="CD12" s="268"/>
      <c r="CE12" s="313"/>
      <c r="DD12" s="313"/>
      <c r="DN12" s="318"/>
      <c r="DO12" s="318"/>
      <c r="DP12" s="318"/>
      <c r="DQ12" s="318"/>
      <c r="DR12" s="318"/>
      <c r="DS12" s="318"/>
      <c r="DT12" s="318"/>
      <c r="DU12" s="318"/>
      <c r="DV12" s="318"/>
      <c r="DW12" s="318"/>
      <c r="DX12" s="318"/>
    </row>
    <row r="13" spans="1:128" s="313" customFormat="1" ht="15" hidden="1" customHeight="1" x14ac:dyDescent="0.2">
      <c r="A13" s="316"/>
      <c r="B13" s="316"/>
      <c r="C13" s="316"/>
      <c r="D13" s="316"/>
      <c r="E13" s="316"/>
      <c r="F13" s="842"/>
      <c r="G13" s="811"/>
      <c r="H13" s="814"/>
      <c r="I13" s="1754"/>
      <c r="J13" s="814"/>
      <c r="K13" s="1740"/>
      <c r="L13" s="320"/>
      <c r="M13" s="842"/>
      <c r="N13" s="811"/>
      <c r="O13" s="316"/>
      <c r="P13" s="814"/>
      <c r="Q13" s="316"/>
      <c r="R13" s="814"/>
      <c r="S13" s="1740"/>
      <c r="T13" s="320"/>
      <c r="U13" s="842"/>
      <c r="V13" s="818"/>
      <c r="W13" s="320"/>
      <c r="X13" s="842"/>
      <c r="Y13" s="818"/>
      <c r="Z13" s="320"/>
      <c r="AA13" s="842"/>
      <c r="AB13" s="1740"/>
      <c r="AC13" s="320"/>
      <c r="AD13" s="849"/>
      <c r="AE13" s="855"/>
      <c r="AF13" s="320"/>
      <c r="AG13" s="842"/>
      <c r="AH13" s="818"/>
      <c r="AI13" s="320"/>
      <c r="AJ13" s="842"/>
      <c r="AK13" s="811"/>
      <c r="AL13" s="316"/>
      <c r="AM13" s="316"/>
      <c r="AN13" s="814"/>
      <c r="AO13" s="811"/>
      <c r="AP13" s="316"/>
      <c r="AQ13" s="814"/>
      <c r="AR13" s="811"/>
      <c r="AS13" s="316"/>
      <c r="AT13" s="316"/>
      <c r="AU13" s="814"/>
      <c r="AV13" s="811"/>
      <c r="AW13" s="316"/>
      <c r="AX13" s="316"/>
      <c r="AY13" s="316"/>
      <c r="AZ13" s="814"/>
      <c r="BA13" s="811"/>
      <c r="BB13" s="814"/>
      <c r="BC13" s="826"/>
      <c r="BD13" s="826"/>
      <c r="BE13" s="811"/>
      <c r="BF13" s="316"/>
      <c r="BG13" s="316"/>
      <c r="BH13" s="814"/>
      <c r="BI13" s="826"/>
      <c r="BJ13" s="826"/>
      <c r="BK13" s="811"/>
      <c r="BL13" s="316"/>
      <c r="BM13" s="814"/>
      <c r="BN13" s="811"/>
      <c r="BO13" s="316"/>
      <c r="BP13" s="316"/>
      <c r="BQ13" s="814"/>
      <c r="BR13" s="811"/>
      <c r="BS13" s="316"/>
      <c r="BT13" s="316"/>
      <c r="BU13" s="814"/>
      <c r="BV13" s="811"/>
      <c r="BW13" s="316"/>
      <c r="BX13" s="814"/>
      <c r="BY13" s="811"/>
      <c r="BZ13" s="316"/>
      <c r="CA13" s="316"/>
      <c r="CB13" s="961"/>
      <c r="CC13" s="961"/>
      <c r="CD13" s="268"/>
      <c r="DE13" s="318"/>
      <c r="DF13" s="318"/>
      <c r="DG13" s="318"/>
      <c r="DH13" s="318"/>
      <c r="DI13" s="318"/>
      <c r="DJ13" s="318"/>
      <c r="DK13" s="318"/>
      <c r="DN13" s="318"/>
      <c r="DO13" s="318"/>
      <c r="DP13" s="318"/>
      <c r="DQ13" s="318"/>
      <c r="DR13" s="318"/>
      <c r="DS13" s="318"/>
      <c r="DT13" s="318"/>
      <c r="DU13" s="318"/>
      <c r="DV13" s="318"/>
      <c r="DW13" s="318"/>
      <c r="DX13" s="318"/>
    </row>
    <row r="14" spans="1:128" s="321" customFormat="1" ht="15" hidden="1" customHeight="1" x14ac:dyDescent="0.2">
      <c r="A14" s="315"/>
      <c r="B14" s="315"/>
      <c r="C14" s="315"/>
      <c r="D14" s="315"/>
      <c r="E14" s="315"/>
      <c r="F14" s="820"/>
      <c r="G14" s="810"/>
      <c r="H14" s="813"/>
      <c r="I14" s="1753"/>
      <c r="J14" s="813"/>
      <c r="K14" s="1741"/>
      <c r="L14" s="322"/>
      <c r="M14" s="820"/>
      <c r="N14" s="810"/>
      <c r="O14" s="315"/>
      <c r="P14" s="813"/>
      <c r="Q14" s="315"/>
      <c r="R14" s="813"/>
      <c r="S14" s="1741"/>
      <c r="T14" s="322"/>
      <c r="U14" s="820"/>
      <c r="V14" s="846"/>
      <c r="W14" s="322"/>
      <c r="X14" s="820"/>
      <c r="Y14" s="846"/>
      <c r="Z14" s="322"/>
      <c r="AA14" s="820"/>
      <c r="AB14" s="1741"/>
      <c r="AC14" s="322"/>
      <c r="AD14" s="850"/>
      <c r="AE14" s="856"/>
      <c r="AF14" s="322"/>
      <c r="AG14" s="820"/>
      <c r="AH14" s="846"/>
      <c r="AI14" s="322"/>
      <c r="AJ14" s="820"/>
      <c r="AK14" s="810"/>
      <c r="AL14" s="315"/>
      <c r="AM14" s="315"/>
      <c r="AN14" s="813"/>
      <c r="AO14" s="810"/>
      <c r="AP14" s="315"/>
      <c r="AQ14" s="813"/>
      <c r="AR14" s="810"/>
      <c r="AS14" s="315"/>
      <c r="AT14" s="315"/>
      <c r="AU14" s="813"/>
      <c r="AV14" s="810"/>
      <c r="AW14" s="315"/>
      <c r="AX14" s="315"/>
      <c r="AY14" s="315"/>
      <c r="AZ14" s="813"/>
      <c r="BA14" s="810"/>
      <c r="BB14" s="813"/>
      <c r="BC14" s="825"/>
      <c r="BD14" s="825"/>
      <c r="BE14" s="810"/>
      <c r="BF14" s="315"/>
      <c r="BG14" s="315"/>
      <c r="BH14" s="813"/>
      <c r="BI14" s="825"/>
      <c r="BJ14" s="825"/>
      <c r="BK14" s="810"/>
      <c r="BL14" s="315"/>
      <c r="BM14" s="813"/>
      <c r="BN14" s="810"/>
      <c r="BO14" s="315"/>
      <c r="BP14" s="315"/>
      <c r="BQ14" s="813"/>
      <c r="BR14" s="810"/>
      <c r="BS14" s="315"/>
      <c r="BT14" s="315"/>
      <c r="BU14" s="813"/>
      <c r="BV14" s="810"/>
      <c r="BW14" s="315"/>
      <c r="BX14" s="813"/>
      <c r="BY14" s="810"/>
      <c r="BZ14" s="315"/>
      <c r="CA14" s="315"/>
      <c r="CD14" s="268"/>
      <c r="CE14" s="313"/>
      <c r="DD14" s="313"/>
      <c r="DE14" s="318"/>
      <c r="DF14" s="318"/>
      <c r="DG14" s="318"/>
      <c r="DH14" s="318"/>
      <c r="DI14" s="318"/>
      <c r="DJ14" s="318"/>
      <c r="DK14" s="318"/>
      <c r="DN14" s="318"/>
      <c r="DO14" s="318"/>
      <c r="DP14" s="318"/>
      <c r="DQ14" s="318"/>
      <c r="DR14" s="318"/>
      <c r="DS14" s="318"/>
      <c r="DT14" s="318"/>
      <c r="DU14" s="318"/>
      <c r="DV14" s="318"/>
      <c r="DW14" s="318"/>
      <c r="DX14" s="318"/>
    </row>
    <row r="15" spans="1:128" s="325" customFormat="1" ht="15" hidden="1" x14ac:dyDescent="0.2">
      <c r="A15" s="323" t="s">
        <v>8</v>
      </c>
      <c r="B15" s="323" t="s">
        <v>35</v>
      </c>
      <c r="C15" s="323" t="s">
        <v>41</v>
      </c>
      <c r="D15" s="323"/>
      <c r="E15" s="323"/>
      <c r="F15" s="843"/>
      <c r="G15" s="812"/>
      <c r="H15" s="815">
        <v>1</v>
      </c>
      <c r="I15" s="1755"/>
      <c r="J15" s="815">
        <v>1</v>
      </c>
      <c r="K15" s="1742"/>
      <c r="L15" s="324"/>
      <c r="M15" s="843">
        <v>1</v>
      </c>
      <c r="N15" s="812"/>
      <c r="O15" s="323"/>
      <c r="P15" s="815">
        <v>1</v>
      </c>
      <c r="Q15" s="323"/>
      <c r="R15" s="815">
        <v>1</v>
      </c>
      <c r="S15" s="1742"/>
      <c r="T15" s="324"/>
      <c r="U15" s="843">
        <v>1</v>
      </c>
      <c r="V15" s="847"/>
      <c r="W15" s="324"/>
      <c r="X15" s="843">
        <v>1</v>
      </c>
      <c r="Y15" s="847"/>
      <c r="Z15" s="324"/>
      <c r="AA15" s="843">
        <v>1</v>
      </c>
      <c r="AB15" s="1742"/>
      <c r="AC15" s="324"/>
      <c r="AD15" s="851">
        <v>1</v>
      </c>
      <c r="AE15" s="857"/>
      <c r="AF15" s="324"/>
      <c r="AG15" s="843">
        <v>1</v>
      </c>
      <c r="AH15" s="847"/>
      <c r="AI15" s="324"/>
      <c r="AJ15" s="843">
        <v>1</v>
      </c>
      <c r="AK15" s="812"/>
      <c r="AL15" s="323"/>
      <c r="AM15" s="323"/>
      <c r="AN15" s="815">
        <v>1</v>
      </c>
      <c r="AO15" s="812"/>
      <c r="AP15" s="323"/>
      <c r="AQ15" s="815">
        <v>1</v>
      </c>
      <c r="AR15" s="812"/>
      <c r="AS15" s="323"/>
      <c r="AT15" s="323"/>
      <c r="AU15" s="815">
        <v>1</v>
      </c>
      <c r="AV15" s="812"/>
      <c r="AW15" s="323"/>
      <c r="AX15" s="323"/>
      <c r="AY15" s="323"/>
      <c r="AZ15" s="815"/>
      <c r="BA15" s="812">
        <v>1</v>
      </c>
      <c r="BB15" s="815">
        <v>1</v>
      </c>
      <c r="BC15" s="827">
        <v>1</v>
      </c>
      <c r="BD15" s="827">
        <v>1</v>
      </c>
      <c r="BE15" s="812"/>
      <c r="BF15" s="323"/>
      <c r="BG15" s="323"/>
      <c r="BH15" s="815">
        <v>1</v>
      </c>
      <c r="BI15" s="827">
        <v>1</v>
      </c>
      <c r="BJ15" s="827"/>
      <c r="BK15" s="812"/>
      <c r="BL15" s="323"/>
      <c r="BM15" s="815">
        <v>1</v>
      </c>
      <c r="BN15" s="812"/>
      <c r="BO15" s="323"/>
      <c r="BP15" s="323"/>
      <c r="BQ15" s="815">
        <v>1</v>
      </c>
      <c r="BR15" s="812"/>
      <c r="BS15" s="323"/>
      <c r="BT15" s="323"/>
      <c r="BU15" s="815">
        <v>1</v>
      </c>
      <c r="BV15" s="812"/>
      <c r="BW15" s="323"/>
      <c r="BX15" s="815">
        <v>1</v>
      </c>
      <c r="BY15" s="812"/>
      <c r="BZ15" s="323"/>
      <c r="CA15" s="323">
        <v>1</v>
      </c>
      <c r="CD15" s="268"/>
      <c r="CE15" s="313"/>
      <c r="DD15" s="313"/>
      <c r="DE15" s="318"/>
      <c r="DF15" s="318"/>
      <c r="DG15" s="318"/>
      <c r="DH15" s="318"/>
      <c r="DI15" s="318"/>
      <c r="DJ15" s="318"/>
      <c r="DK15" s="318"/>
      <c r="DN15" s="318"/>
      <c r="DO15" s="318"/>
      <c r="DP15" s="318"/>
      <c r="DQ15" s="318"/>
      <c r="DR15" s="318"/>
      <c r="DS15" s="318"/>
      <c r="DT15" s="318"/>
      <c r="DU15" s="318"/>
      <c r="DV15" s="318"/>
      <c r="DW15" s="318"/>
      <c r="DX15" s="318"/>
    </row>
    <row r="16" spans="1:128" s="327" customFormat="1" ht="15" hidden="1" x14ac:dyDescent="0.2">
      <c r="A16" s="326" t="s">
        <v>36</v>
      </c>
      <c r="B16" s="326" t="s">
        <v>35</v>
      </c>
      <c r="C16" s="326" t="s">
        <v>42</v>
      </c>
      <c r="D16" s="326"/>
      <c r="E16" s="326"/>
      <c r="F16" s="824">
        <v>1</v>
      </c>
      <c r="G16" s="1555">
        <v>1</v>
      </c>
      <c r="H16" s="1640">
        <v>100</v>
      </c>
      <c r="I16" s="1756">
        <v>1</v>
      </c>
      <c r="J16" s="1640">
        <v>100</v>
      </c>
      <c r="K16" s="1743">
        <v>1</v>
      </c>
      <c r="L16" s="1553">
        <v>1</v>
      </c>
      <c r="M16" s="1641">
        <v>100</v>
      </c>
      <c r="N16" s="1555">
        <v>1</v>
      </c>
      <c r="O16" s="1553">
        <v>1</v>
      </c>
      <c r="P16" s="1640">
        <v>100</v>
      </c>
      <c r="Q16" s="1554">
        <v>1</v>
      </c>
      <c r="R16" s="1640">
        <v>100</v>
      </c>
      <c r="S16" s="1743">
        <v>1</v>
      </c>
      <c r="T16" s="1553">
        <v>1</v>
      </c>
      <c r="U16" s="1641">
        <v>100</v>
      </c>
      <c r="V16" s="1555">
        <v>1</v>
      </c>
      <c r="W16" s="1553">
        <v>1</v>
      </c>
      <c r="X16" s="1641">
        <v>100</v>
      </c>
      <c r="Y16" s="1555">
        <v>1</v>
      </c>
      <c r="Z16" s="1553">
        <v>1</v>
      </c>
      <c r="AA16" s="1641">
        <v>100</v>
      </c>
      <c r="AB16" s="1743">
        <v>1</v>
      </c>
      <c r="AC16" s="1553">
        <v>1</v>
      </c>
      <c r="AD16" s="1642">
        <v>100</v>
      </c>
      <c r="AE16" s="1556">
        <v>1</v>
      </c>
      <c r="AF16" s="1553">
        <v>1</v>
      </c>
      <c r="AG16" s="1641">
        <v>100</v>
      </c>
      <c r="AH16" s="1555">
        <v>1</v>
      </c>
      <c r="AI16" s="1553">
        <v>1</v>
      </c>
      <c r="AJ16" s="1641">
        <v>100</v>
      </c>
      <c r="AK16" s="1555">
        <v>1</v>
      </c>
      <c r="AL16" s="1553">
        <v>1</v>
      </c>
      <c r="AM16" s="1553">
        <v>1</v>
      </c>
      <c r="AN16" s="1640">
        <v>100</v>
      </c>
      <c r="AO16" s="1555">
        <v>1</v>
      </c>
      <c r="AP16" s="1553">
        <v>1</v>
      </c>
      <c r="AQ16" s="1640">
        <v>100</v>
      </c>
      <c r="AR16" s="1555">
        <v>1</v>
      </c>
      <c r="AS16" s="1553">
        <v>1</v>
      </c>
      <c r="AT16" s="509" t="e">
        <f>IF(AT19=0,0.001,AT19*0.85)</f>
        <v>#DIV/0!</v>
      </c>
      <c r="AU16" s="1640">
        <v>100</v>
      </c>
      <c r="AV16" s="1555">
        <v>1</v>
      </c>
      <c r="AW16" s="1553">
        <v>1</v>
      </c>
      <c r="AX16" s="1553">
        <v>1</v>
      </c>
      <c r="AY16" s="1553">
        <v>1</v>
      </c>
      <c r="AZ16" s="1633" t="e">
        <f t="array" ref="AZ16">IF(AZ19=0,0.001,AZ19*0.85)</f>
        <v>#DIV/0!</v>
      </c>
      <c r="BA16" s="837">
        <v>11</v>
      </c>
      <c r="BB16" s="816">
        <v>111</v>
      </c>
      <c r="BC16" s="831">
        <v>110</v>
      </c>
      <c r="BD16" s="1552">
        <v>100</v>
      </c>
      <c r="BE16" s="1553">
        <v>1</v>
      </c>
      <c r="BF16" s="1553">
        <v>1</v>
      </c>
      <c r="BG16" s="346" t="e">
        <f>IF(BG19=0,0.001,BG19)</f>
        <v>#DIV/0!</v>
      </c>
      <c r="BH16" s="816">
        <v>100</v>
      </c>
      <c r="BI16" s="1637">
        <v>95</v>
      </c>
      <c r="BJ16" s="1553">
        <v>1</v>
      </c>
      <c r="BK16" s="1553">
        <v>1</v>
      </c>
      <c r="BL16" s="1553">
        <v>1</v>
      </c>
      <c r="BM16" s="1638">
        <v>80</v>
      </c>
      <c r="BN16" s="1553">
        <v>1</v>
      </c>
      <c r="BO16" s="1553">
        <v>1</v>
      </c>
      <c r="BP16" s="1645">
        <v>1.2</v>
      </c>
      <c r="BQ16" s="1639">
        <f>BP16*100</f>
        <v>120</v>
      </c>
      <c r="BR16" s="1553">
        <v>1</v>
      </c>
      <c r="BS16" s="1553">
        <v>1</v>
      </c>
      <c r="BT16" s="1644">
        <f>100-BU16</f>
        <v>15</v>
      </c>
      <c r="BU16" s="1638">
        <v>85</v>
      </c>
      <c r="BV16" s="1553">
        <v>1</v>
      </c>
      <c r="BW16" s="1553">
        <v>1</v>
      </c>
      <c r="BX16" s="1637">
        <v>32</v>
      </c>
      <c r="BY16" s="1553">
        <v>1</v>
      </c>
      <c r="BZ16" s="1553">
        <v>1</v>
      </c>
      <c r="CA16" s="1636">
        <v>85</v>
      </c>
      <c r="CD16" s="268"/>
      <c r="CE16" s="313"/>
      <c r="DD16" s="313"/>
      <c r="DE16" s="318"/>
      <c r="DF16" s="318"/>
      <c r="DG16" s="318"/>
      <c r="DH16" s="318"/>
      <c r="DI16" s="318"/>
      <c r="DJ16" s="318"/>
      <c r="DK16" s="318"/>
      <c r="DN16" s="318"/>
      <c r="DO16" s="318"/>
      <c r="DP16" s="318"/>
      <c r="DQ16" s="318"/>
      <c r="DR16" s="318"/>
      <c r="DS16" s="318"/>
      <c r="DT16" s="318"/>
      <c r="DU16" s="318"/>
      <c r="DV16" s="318"/>
      <c r="DW16" s="318"/>
      <c r="DX16" s="318"/>
    </row>
    <row r="17" spans="1:128" s="327" customFormat="1" ht="15" hidden="1" x14ac:dyDescent="0.2">
      <c r="A17" s="1663" t="s">
        <v>36</v>
      </c>
      <c r="B17" s="1663" t="s">
        <v>35</v>
      </c>
      <c r="C17" s="1663" t="s">
        <v>43</v>
      </c>
      <c r="D17" s="1664"/>
      <c r="E17" s="1664"/>
      <c r="F17" s="1665">
        <v>0</v>
      </c>
      <c r="G17" s="1666">
        <v>0</v>
      </c>
      <c r="H17" s="1670">
        <v>0</v>
      </c>
      <c r="I17" s="1666">
        <v>0</v>
      </c>
      <c r="J17" s="1670">
        <v>0</v>
      </c>
      <c r="K17" s="1666">
        <v>0</v>
      </c>
      <c r="L17" s="1668">
        <v>0</v>
      </c>
      <c r="M17" s="1669">
        <v>0</v>
      </c>
      <c r="N17" s="1666">
        <v>0</v>
      </c>
      <c r="O17" s="1668">
        <v>0</v>
      </c>
      <c r="P17" s="1670">
        <v>0</v>
      </c>
      <c r="Q17" s="1668">
        <v>0</v>
      </c>
      <c r="R17" s="1670">
        <v>0</v>
      </c>
      <c r="S17" s="1666">
        <v>0</v>
      </c>
      <c r="T17" s="1668">
        <v>0</v>
      </c>
      <c r="U17" s="1669">
        <v>0</v>
      </c>
      <c r="V17" s="1666">
        <v>0</v>
      </c>
      <c r="W17" s="1668">
        <v>0</v>
      </c>
      <c r="X17" s="1669">
        <v>0</v>
      </c>
      <c r="Y17" s="1666">
        <v>0</v>
      </c>
      <c r="Z17" s="1668">
        <v>0</v>
      </c>
      <c r="AA17" s="1669">
        <v>0</v>
      </c>
      <c r="AB17" s="1666">
        <v>0</v>
      </c>
      <c r="AC17" s="1668">
        <v>0</v>
      </c>
      <c r="AD17" s="1671">
        <v>0</v>
      </c>
      <c r="AE17" s="1672">
        <v>0</v>
      </c>
      <c r="AF17" s="1668">
        <v>0</v>
      </c>
      <c r="AG17" s="1669">
        <v>100</v>
      </c>
      <c r="AH17" s="1666">
        <v>0</v>
      </c>
      <c r="AI17" s="1668">
        <v>0</v>
      </c>
      <c r="AJ17" s="1669">
        <v>100</v>
      </c>
      <c r="AK17" s="1666">
        <v>0</v>
      </c>
      <c r="AL17" s="1668">
        <v>0</v>
      </c>
      <c r="AM17" s="1668">
        <v>0</v>
      </c>
      <c r="AN17" s="1673">
        <v>0</v>
      </c>
      <c r="AO17" s="1666">
        <v>0</v>
      </c>
      <c r="AP17" s="1668">
        <v>0</v>
      </c>
      <c r="AQ17" s="1673">
        <v>0</v>
      </c>
      <c r="AR17" s="1666">
        <v>0</v>
      </c>
      <c r="AS17" s="1668">
        <v>0</v>
      </c>
      <c r="AT17" s="1668">
        <v>0</v>
      </c>
      <c r="AU17" s="1670">
        <v>0</v>
      </c>
      <c r="AV17" s="1666">
        <v>0</v>
      </c>
      <c r="AW17" s="1668">
        <v>0</v>
      </c>
      <c r="AX17" s="1668">
        <v>0</v>
      </c>
      <c r="AY17" s="1668">
        <v>0</v>
      </c>
      <c r="AZ17" s="1674" t="e">
        <f>AZ19*0.2</f>
        <v>#DIV/0!</v>
      </c>
      <c r="BA17" s="1675">
        <v>0</v>
      </c>
      <c r="BB17" s="1676">
        <v>100</v>
      </c>
      <c r="BC17" s="1677">
        <v>100</v>
      </c>
      <c r="BD17" s="556">
        <v>95</v>
      </c>
      <c r="BE17" s="1678">
        <v>0</v>
      </c>
      <c r="BF17" s="1678">
        <v>0</v>
      </c>
      <c r="BG17" s="1678">
        <v>0</v>
      </c>
      <c r="BH17" s="1679">
        <v>0</v>
      </c>
      <c r="BI17" s="1643">
        <v>0</v>
      </c>
      <c r="BJ17" s="1678">
        <v>0</v>
      </c>
      <c r="BK17" s="1678">
        <v>0</v>
      </c>
      <c r="BL17" s="1678">
        <v>0</v>
      </c>
      <c r="BM17" s="1680">
        <v>70</v>
      </c>
      <c r="BN17" s="1678">
        <v>0</v>
      </c>
      <c r="BO17" s="1678">
        <v>0</v>
      </c>
      <c r="BP17" s="556">
        <v>0.99</v>
      </c>
      <c r="BQ17" s="1680">
        <f>BP17*100</f>
        <v>99</v>
      </c>
      <c r="BR17" s="1678">
        <v>0</v>
      </c>
      <c r="BS17" s="1678">
        <v>0</v>
      </c>
      <c r="BT17" s="1678">
        <v>0</v>
      </c>
      <c r="BU17" s="1680">
        <v>70</v>
      </c>
      <c r="BV17" s="1678">
        <v>0</v>
      </c>
      <c r="BW17" s="1678">
        <v>0</v>
      </c>
      <c r="BX17" s="1643">
        <v>30</v>
      </c>
      <c r="BY17" s="1678">
        <v>0</v>
      </c>
      <c r="BZ17" s="1678">
        <v>0</v>
      </c>
      <c r="CA17" s="1667">
        <v>70</v>
      </c>
      <c r="CD17" s="268"/>
      <c r="CE17" s="313"/>
      <c r="DD17" s="313"/>
      <c r="DE17" s="318"/>
      <c r="DF17" s="318"/>
      <c r="DG17" s="318"/>
      <c r="DH17" s="318"/>
      <c r="DI17" s="318"/>
      <c r="DJ17" s="318"/>
      <c r="DK17" s="318"/>
      <c r="DN17" s="318"/>
      <c r="DO17" s="318"/>
      <c r="DP17" s="318"/>
      <c r="DQ17" s="318"/>
      <c r="DR17" s="318"/>
      <c r="DS17" s="318"/>
      <c r="DT17" s="318"/>
      <c r="DU17" s="318"/>
      <c r="DV17" s="318"/>
      <c r="DW17" s="318"/>
      <c r="DX17" s="318"/>
    </row>
    <row r="18" spans="1:128" s="328" customFormat="1" ht="16.5" hidden="1" customHeight="1" thickBot="1" x14ac:dyDescent="0.25">
      <c r="A18" s="1701" t="s">
        <v>681</v>
      </c>
      <c r="B18" s="1702"/>
      <c r="C18" s="1702"/>
      <c r="D18" s="1702"/>
      <c r="E18" s="1702"/>
      <c r="F18" s="1703"/>
      <c r="G18" s="1702"/>
      <c r="H18" s="1746">
        <f>IF(H$19&gt;H$16,100,H$19/H$16*100)</f>
        <v>100</v>
      </c>
      <c r="I18" s="1757"/>
      <c r="J18" s="1746">
        <f>IF(J$19&gt;J$16,100,J$19/J$16*100)</f>
        <v>100</v>
      </c>
      <c r="K18" s="1744"/>
      <c r="L18" s="1705"/>
      <c r="M18" s="1704">
        <f>IF(M$19&gt;M$16,100,M$19/M$16*100)</f>
        <v>100</v>
      </c>
      <c r="N18" s="1702"/>
      <c r="O18" s="1702"/>
      <c r="P18" s="1704">
        <f>IF(P$19&gt;P$16,100,P$19/P$16*100)</f>
        <v>100</v>
      </c>
      <c r="Q18" s="1704"/>
      <c r="R18" s="1746">
        <f>IF(R$19&gt;R$16,100,R$19/R$16*100)</f>
        <v>100</v>
      </c>
      <c r="S18" s="1744"/>
      <c r="T18" s="1705"/>
      <c r="U18" s="1704">
        <f>IF(U$19&gt;U$16,100,U$19/U$16*100)</f>
        <v>100</v>
      </c>
      <c r="V18" s="1705"/>
      <c r="W18" s="1705"/>
      <c r="X18" s="1704">
        <f>IF(X$19&gt;X$16,100,X$19/X$16*100)</f>
        <v>100</v>
      </c>
      <c r="Y18" s="1705"/>
      <c r="Z18" s="1705"/>
      <c r="AA18" s="1746">
        <f>IF(AA$19&gt;AA$16,100,AA$19/AA$16*100)</f>
        <v>100</v>
      </c>
      <c r="AB18" s="1744"/>
      <c r="AC18" s="1705"/>
      <c r="AD18" s="1704">
        <f>IF(AD$19&gt;AD$16,100,AD$19/AD$16*100)</f>
        <v>100</v>
      </c>
      <c r="AE18" s="1705"/>
      <c r="AF18" s="1705"/>
      <c r="AG18" s="1704">
        <f>IF(AG$19&gt;AG$16,100,AG$19/AG$16*100)</f>
        <v>100</v>
      </c>
      <c r="AH18" s="1705"/>
      <c r="AI18" s="1705"/>
      <c r="AJ18" s="1704">
        <f>IF(AJ$19&gt;AJ$16,100,AJ$19/AJ$16*100)</f>
        <v>100</v>
      </c>
      <c r="AK18" s="1706"/>
      <c r="AL18" s="1706"/>
      <c r="AM18" s="1706"/>
      <c r="AN18" s="1704">
        <f>IF(AN$19&gt;AN$16,100,AN$19/AN$16*100)</f>
        <v>0</v>
      </c>
      <c r="AO18" s="1702"/>
      <c r="AP18" s="1702"/>
      <c r="AQ18" s="1704">
        <f>IF(AQ$19&gt;AQ$16,100,AQ$19/AQ$16*100)</f>
        <v>100</v>
      </c>
      <c r="AR18" s="1707"/>
      <c r="AS18" s="1707"/>
      <c r="AT18" s="1707"/>
      <c r="AU18" s="1704">
        <f>IF(AU$19&gt;AU$16,100,AU$19/AU$16*100)</f>
        <v>100</v>
      </c>
      <c r="AV18" s="1702"/>
      <c r="AW18" s="1702"/>
      <c r="AX18" s="1702"/>
      <c r="AY18" s="1702"/>
      <c r="AZ18" s="1707"/>
      <c r="BA18" s="1704">
        <f>IF(BA$19&gt;BA$16,100,BA$19/BA$16*100)</f>
        <v>-374.35660547382435</v>
      </c>
      <c r="BB18" s="1704">
        <f>IF(BB$19&gt;BB$16,100,BB$19/BB$16*100)</f>
        <v>52.991687745837226</v>
      </c>
      <c r="BC18" s="1704"/>
      <c r="BD18" s="1704"/>
      <c r="BE18" s="1702"/>
      <c r="BF18" s="1702"/>
      <c r="BG18" s="1702"/>
      <c r="BH18" s="1704">
        <f>IF(BH$19&gt;BH$16,100,BH$19/BH$16*100)</f>
        <v>100</v>
      </c>
      <c r="BI18" s="1704">
        <f>IF(BI$19&gt;BI$16,100,BI$19/BI$16*100)</f>
        <v>100</v>
      </c>
      <c r="BJ18" s="1702"/>
      <c r="BK18" s="1702"/>
      <c r="BL18" s="1702"/>
      <c r="BM18" s="1704">
        <f>IF(BM$19&gt;BM$16,100,BM$19/BM$16*100)</f>
        <v>0</v>
      </c>
      <c r="BN18" s="1702"/>
      <c r="BO18" s="1702"/>
      <c r="BP18" s="1702"/>
      <c r="BQ18" s="1704" t="e">
        <f>IF(BQ$19&gt;BQ$16,100,BQ$19/BQ$16*100)</f>
        <v>#DIV/0!</v>
      </c>
      <c r="BR18" s="1702"/>
      <c r="BS18" s="1702"/>
      <c r="BT18" s="1702"/>
      <c r="BU18" s="1704">
        <f>IF(BU$19&gt;BU$16,100,BU$19/BU$16*100)</f>
        <v>100</v>
      </c>
      <c r="BV18" s="1704"/>
      <c r="BW18" s="1704"/>
      <c r="BX18" s="1704">
        <f>IF(BX$19&gt;BX$16,100,BX$19/BX$16*100)</f>
        <v>100</v>
      </c>
      <c r="BY18" s="1702"/>
      <c r="BZ18" s="1702"/>
      <c r="CA18" s="1704">
        <f>IF(CA$19&gt;CA$16,100,CA$19/CA$16*100)</f>
        <v>100</v>
      </c>
      <c r="CD18" s="268"/>
      <c r="CE18" s="329"/>
      <c r="DD18" s="329"/>
      <c r="DE18" s="330"/>
      <c r="DF18" s="330"/>
      <c r="DG18" s="330"/>
      <c r="DH18" s="330"/>
      <c r="DI18" s="330"/>
      <c r="DJ18" s="330"/>
      <c r="DK18" s="330"/>
      <c r="DN18" s="330"/>
      <c r="DO18" s="330"/>
      <c r="DP18" s="330"/>
      <c r="DQ18" s="330"/>
      <c r="DR18" s="330"/>
      <c r="DS18" s="330"/>
      <c r="DT18" s="330"/>
      <c r="DU18" s="330"/>
      <c r="DV18" s="330"/>
      <c r="DW18" s="330"/>
      <c r="DX18" s="330"/>
    </row>
    <row r="19" spans="1:128" s="1078" customFormat="1" ht="15.75" thickBot="1" x14ac:dyDescent="0.25">
      <c r="A19" s="1681" t="s">
        <v>193</v>
      </c>
      <c r="B19" s="1681" t="s">
        <v>35</v>
      </c>
      <c r="C19" s="1682">
        <f>SUM(C$20:C$115)</f>
        <v>0</v>
      </c>
      <c r="D19" s="1682"/>
      <c r="E19" s="1682" t="s">
        <v>16</v>
      </c>
      <c r="F19" s="1683" t="s">
        <v>16</v>
      </c>
      <c r="G19" s="1684">
        <f>SUM(G$20:G$99)</f>
        <v>0</v>
      </c>
      <c r="H19" s="1700">
        <f>SUM(H20:H78)/COUNT(H20:H78)</f>
        <v>100</v>
      </c>
      <c r="I19" s="1758">
        <f>SUM(I$20:I$99)</f>
        <v>0</v>
      </c>
      <c r="J19" s="1700">
        <f>SUM(J20:J78)/COUNT(J20:J78)</f>
        <v>100</v>
      </c>
      <c r="K19" s="1688">
        <f>SUM(K$20:K$99)</f>
        <v>0</v>
      </c>
      <c r="L19" s="1686">
        <f>SUM(L$20:L$99)</f>
        <v>0</v>
      </c>
      <c r="M19" s="1687" t="str">
        <f>IF((L19&gt;0),K19/L19*100,нет)</f>
        <v>нет</v>
      </c>
      <c r="N19" s="1688">
        <f>SUM(N$20:N$99)</f>
        <v>0</v>
      </c>
      <c r="O19" s="1686">
        <f>SUM(O$20:O$99)</f>
        <v>0</v>
      </c>
      <c r="P19" s="1687" t="str">
        <f>IF((O19&gt;0),N19/O19*100,нет)</f>
        <v>нет</v>
      </c>
      <c r="Q19" s="1685">
        <f>SUM(Q$20:Q$99)</f>
        <v>0</v>
      </c>
      <c r="R19" s="1700">
        <f>SUM(R20:R78)/COUNT(R20:R78)</f>
        <v>100</v>
      </c>
      <c r="S19" s="1688">
        <f>SUM(S$20:S$99)</f>
        <v>0</v>
      </c>
      <c r="T19" s="1686">
        <f>SUM(T$20:T$99)</f>
        <v>0</v>
      </c>
      <c r="U19" s="1687" t="str">
        <f>IF(T19=0,"нет",S19/T19*100)</f>
        <v>нет</v>
      </c>
      <c r="V19" s="1688">
        <f>SUM(V$20:V$99)</f>
        <v>0</v>
      </c>
      <c r="W19" s="1686">
        <f>SUM(W$20:W$99)</f>
        <v>0</v>
      </c>
      <c r="X19" s="1687" t="str">
        <f>IF(W19=0,"нет",V19/W19*100)</f>
        <v>нет</v>
      </c>
      <c r="Y19" s="1688">
        <f>SUM(Y$20:Y$99)</f>
        <v>0</v>
      </c>
      <c r="Z19" s="1686">
        <f>SUM(Z$20:Z$99)</f>
        <v>0</v>
      </c>
      <c r="AA19" s="1687" t="str">
        <f>IF(Z19=0,"нет",Y19/Z19*100)</f>
        <v>нет</v>
      </c>
      <c r="AB19" s="1688">
        <f>SUM(AB$20:AB$99)</f>
        <v>0</v>
      </c>
      <c r="AC19" s="1686">
        <f>SUM(AC$20:AC$99)</f>
        <v>0</v>
      </c>
      <c r="AD19" s="1689" t="str">
        <f>IF(AC19=0,"нет",AC19/AB19*100)</f>
        <v>нет</v>
      </c>
      <c r="AE19" s="1690">
        <f>SUM(AE$20:AE$99)</f>
        <v>0</v>
      </c>
      <c r="AF19" s="1686">
        <f>SUM(AF$20:AF$99)</f>
        <v>0</v>
      </c>
      <c r="AG19" s="1687" t="str">
        <f>IF(AF19=0,"нет",AE19/AF19*100)</f>
        <v>нет</v>
      </c>
      <c r="AH19" s="1688">
        <f>SUM(AH$20:AH$99)</f>
        <v>0</v>
      </c>
      <c r="AI19" s="1686">
        <f>SUM(AI$20:AI$99)</f>
        <v>0</v>
      </c>
      <c r="AJ19" s="1687" t="str">
        <f>IF(AI19=0,"нет",AH19/AI19*100)</f>
        <v>нет</v>
      </c>
      <c r="AK19" s="1688">
        <f>ПрофРабота!$Q19</f>
        <v>0</v>
      </c>
      <c r="AL19" s="1686">
        <f>ПрофРабота!$R19</f>
        <v>0</v>
      </c>
      <c r="AM19" s="1686">
        <f>ПрофРабота!$S19</f>
        <v>0</v>
      </c>
      <c r="AN19" s="1687">
        <f t="array" ref="AN19">ПрофРабота!$C19</f>
        <v>0</v>
      </c>
      <c r="AO19" s="1690">
        <f>SUM(AO$20:AO$99)</f>
        <v>0</v>
      </c>
      <c r="AP19" s="1686">
        <f>SUM(AP$20:AP$99)</f>
        <v>0</v>
      </c>
      <c r="AQ19" s="1687" t="str">
        <f>IF(AP19=0,"нет",AO19/AP19*100)</f>
        <v>нет</v>
      </c>
      <c r="AR19" s="1691">
        <f>SUM(AR$20:AR$99)</f>
        <v>7213581</v>
      </c>
      <c r="AS19" s="1692">
        <f>SUM(AS$20:AS$99)</f>
        <v>5982000</v>
      </c>
      <c r="AT19" s="1692" t="e">
        <f>IF(($E19="да"),IF(AR19=0,0,AR19/$C19),"нет")</f>
        <v>#DIV/0!</v>
      </c>
      <c r="AU19" s="1693">
        <f>IF(($E19="да"),IF(AS19=0,"нет",AR19/AS19*100),"нет")</f>
        <v>120.58811434302909</v>
      </c>
      <c r="AV19" s="1691">
        <f>SUM(AV$20:AV$99)</f>
        <v>7213581</v>
      </c>
      <c r="AW19" s="1692">
        <f>SUM(AW$20:AW$99)</f>
        <v>1553966</v>
      </c>
      <c r="AX19" s="1692">
        <f>SUM(AX$20:AX$99)</f>
        <v>12263662.279999999</v>
      </c>
      <c r="AY19" s="1692">
        <f>SUM(AY$20:AY$99)</f>
        <v>2004057.74</v>
      </c>
      <c r="AZ19" s="1693" t="e">
        <f t="shared" ref="AZ19:AZ50" si="0">(AV19+AW19)/$C19</f>
        <v>#DIV/0!</v>
      </c>
      <c r="BA19" s="1691">
        <f t="array" ref="BA19">IF(($E19="да"),IF($AX19=0,"нет",$AV19/$AX19*100-100),"нет")</f>
        <v>-41.179226602120679</v>
      </c>
      <c r="BB19" s="1693">
        <f t="array" ref="BB19">IF(($E19="да"),IF($AX19=0,"нет",$AV19/$AX19*100),"нет")</f>
        <v>58.820773397879321</v>
      </c>
      <c r="BC19" s="1694">
        <f t="shared" ref="BC19:BC50" si="1">IF(($E19="да"),IF(AS19&gt;0,AU19,нет),нет)</f>
        <v>120.58811434302909</v>
      </c>
      <c r="BD19" s="1695" t="e">
        <f t="array" ref="BD19">IF(($E19="да"),IF($AZ19&gt;$AZ$17,$AZ19/$AZ$16*BD$16,нет),нет)</f>
        <v>#DIV/0!</v>
      </c>
      <c r="BE19" s="1691">
        <f>SUM(BE$20:BE$99)</f>
        <v>1553966</v>
      </c>
      <c r="BF19" s="1692">
        <f>SUM(BF$20:BF$99)</f>
        <v>1553966</v>
      </c>
      <c r="BG19" s="1692" t="e">
        <f>IF(($F19="да"),IF(BE19=0,0,BE19/$C19),"нет")</f>
        <v>#DIV/0!</v>
      </c>
      <c r="BH19" s="1693">
        <f>IF(($F19="да"),IF(BF19=0,"нет",BE19/BF19*100),"нет")</f>
        <v>100</v>
      </c>
      <c r="BI19" s="1694">
        <f t="array" ref="BI19">IF(($E19="да")+($F19="да"),IF((BF19+AS19)=0,"нет",(AR19+BE19)/(BF19+AS19)*100),"нет")</f>
        <v>116.34270908334778</v>
      </c>
      <c r="BJ19" s="1696">
        <f>SUM(BJ$20:BJ$99)</f>
        <v>0</v>
      </c>
      <c r="BK19" s="1697">
        <f>SUM(BK$20:BK$99)</f>
        <v>0</v>
      </c>
      <c r="BL19" s="1698">
        <f>SUM(BL$20:BL$99)</f>
        <v>0</v>
      </c>
      <c r="BM19" s="1699">
        <f>IF(BL19=0,0,BK19/BL19*100)</f>
        <v>0</v>
      </c>
      <c r="BN19" s="1684">
        <f>SUM(BN$20:BN$99)</f>
        <v>0</v>
      </c>
      <c r="BO19" s="1698">
        <f>SUM(BO$20:BO$99)</f>
        <v>0</v>
      </c>
      <c r="BP19" s="1698" t="str">
        <f>IF(BN19=0,нет,BO19/BN19)</f>
        <v>нет</v>
      </c>
      <c r="BQ19" s="1700" t="e">
        <f t="shared" ref="BQ19" si="2">IF(BJ19/BN19&lt;$BP$17,0,120)</f>
        <v>#DIV/0!</v>
      </c>
      <c r="BR19" s="1697">
        <f t="array" ref="BR19">SUM(BR$20:BR$99)</f>
        <v>0</v>
      </c>
      <c r="BS19" s="1698">
        <f>SUM(BS$20:BS$99)</f>
        <v>0</v>
      </c>
      <c r="BT19" s="1698">
        <f t="array" ref="BT19">IF(BS19=0,0,BR19/BS19*100)</f>
        <v>0</v>
      </c>
      <c r="BU19" s="1700">
        <f t="array" ref="BU19">100-BT19</f>
        <v>100</v>
      </c>
      <c r="BV19" s="1697">
        <f>SUM(BV$20:BV$99)</f>
        <v>0</v>
      </c>
      <c r="BW19" s="1698">
        <f>SUM(BW$20:BW$99)</f>
        <v>0</v>
      </c>
      <c r="BX19" s="1700" t="str">
        <f>IF(BW19=0,"нет",BW19/BV19*100)</f>
        <v>нет</v>
      </c>
      <c r="BY19" s="1697">
        <f>SUM(BY$20:BY$99)</f>
        <v>0</v>
      </c>
      <c r="BZ19" s="1698">
        <f>SUM(BZ$20:BZ$99)</f>
        <v>0</v>
      </c>
      <c r="CA19" s="1685" t="str">
        <f>IF(BZ19=0,"нет",BY19/BZ19*100)</f>
        <v>нет</v>
      </c>
      <c r="CD19" s="1069"/>
      <c r="CE19" s="1080"/>
      <c r="CG19" s="1071" t="e">
        <f t="array" ref="CG19">SUM(IF($F19:$CA19=нет,0,IF($F19:$CA19&gt;=$F$16:$CA$16,$F$16:$CA$16,IF($F19:$CA19&lt;$F$17:$CA$17,0,$F19:$CA19)))*$F$11:$CA$11*($F$104:$CA$104=CG$4)/$F$16:$CA$16*($F$106:$CA$115*($B$106:$B$115=$B19)*($A$106:$A$115=$A$104)))</f>
        <v>#DIV/0!</v>
      </c>
      <c r="CH19" s="1071" t="e">
        <f t="array" ref="CH19">SUM(IF($F19:$CA19=нет,0,IF($F19:$CA19&gt;=$F$16:$CA$16,$F$16:$CA$16,IF($F19:$CA19&lt;$F$17:$CA$17,0,$F19:$CA19)))*$F$11:$CA$11*($F$104:$CA$104=CH$4)/$F$16:$CA$16*($F$106:$CA$115*($B$106:$B$115=$B19)*($A$106:$A$115=$A$104)))</f>
        <v>#DIV/0!</v>
      </c>
      <c r="CI19" s="1071" t="e">
        <f t="array" ref="CI19">SUM(IF($F19:$CA19=нет,0,IF($F19:$CA19&gt;=$F$16:$CA$16,$F$16:$CA$16,IF($F19:$CA19&lt;$F$17:$CA$17,0,$F19:$CA19)))*$F$11:$CA$11*($F$105:$CA$105=CI$4)/$F$16:$CA$16*($F$106:$CA$115*($B$106:$B$115=$B19)*($A$106:$A$115=$A$104)))</f>
        <v>#DIV/0!</v>
      </c>
      <c r="CJ19" s="1072" t="e">
        <f>'НУ(ВИД3)'!D20</f>
        <v>#DIV/0!</v>
      </c>
      <c r="CK19" s="1071" t="e">
        <f t="array" ref="CK19">SUM(IF($F19:$CA19=нет,0,IF($F19:$CA19&gt;=$F$16:$CA$16,$F$16:$CA$16,IF($F19:$CA19&lt;$F$17:$CA$17,0,$F19:$CA19)))*$F$11:$CA$11*($F$104:$CA$104=CK$4)/$F$16:$CA$16*($F$106:$CA$115*($B$106:$B$115=$B19)*($A$106:$A$115=$A$104)))</f>
        <v>#DIV/0!</v>
      </c>
      <c r="CL19" s="1071" t="e">
        <f t="array" ref="CL19">SUM(IF($F19:$CA19=нет,0,IF($F19:$CA19&gt;=$F$16:$CA$16,$F$16:$CA$16,IF($F19:$CA19&lt;$F$17:$CA$17,0,$F19:$CA19)))*$F$11:$CA$11*($F$104:$CA$104=CL$4)/$F$16:$CA$16*($F$106:$CA$115*($B$106:$B$115=$B19)*($A$106:$A$115=$A$104)))</f>
        <v>#DIV/0!</v>
      </c>
      <c r="CM19" s="1071" t="e">
        <f t="array" ref="CM19">SUM(IF($F19:$CA19=нет,0,IF($F19:$CA19&gt;=$F$16:$CA$16,$F$16:$CA$16,IF($F19:$CA19&lt;$F$17:$CA$17,0,$F19:$CA19)))*$F$11:$CA$11*($F$104:$CA$104=CM$4)/$F$16:$CA$16*($F$106:$CA$115*($B$106:$B$115=$B19)*($A$106:$A$115=$A$104)))</f>
        <v>#DIV/0!</v>
      </c>
      <c r="CO19" s="1073" t="e">
        <f t="array" ref="CO19">SUM(IF($F19:$CA19=нет,0,100)*$F$11:$CA$11*($F$104:$CA$104=CO$4)/100*($F$106:$CA$115*($B$106:$B$115=$B19)*($A$106:$A$115=$A$104)))</f>
        <v>#DIV/0!</v>
      </c>
      <c r="CP19" s="1073" t="e">
        <f t="array" ref="CP19">SUM(IF($F19:$CA19=нет,0,100)*$F$11:$CA$11*($F$104:$CA$104=CP$4)/100*($F$106:$CA$115*($B$106:$B$115=$B19)*($A$106:$A$115=$A$104)))</f>
        <v>#DIV/0!</v>
      </c>
      <c r="CQ19" s="1073" t="e">
        <f t="array" ref="CQ19">SUM(IF($F19:$CA19=нет,0,100)*$F$11:$CA$11*($F$105:$CA$105=CQ$4)/100*($F$106:$CA$115*($B$106:$B$115=$B19)*($A$106:$A$115=$A$104)))</f>
        <v>#DIV/0!</v>
      </c>
      <c r="CR19" s="1057">
        <f>'НУ(ВИД3)'!E20</f>
        <v>23</v>
      </c>
      <c r="CS19" s="1073" t="e">
        <f t="array" ref="CS19">SUM(IF($F19:$CA19=нет,0,100)*$F$11:$CA$11*($F$104:$CA$104=CS$4)/100*($F$106:$CA$115*($B$106:$B$115=$B19)*($A$106:$A$115=$A$104)))</f>
        <v>#DIV/0!</v>
      </c>
      <c r="CT19" s="1073" t="e">
        <f t="array" ref="CT19">SUM(IF($F19:$CA19=нет,0,100)*$F$11:$CA$11*($F$104:$CA$104=CT$4)/100*($F$106:$CA$115*($B$106:$B$115=$B19)*($A$106:$A$115=$A$104)))</f>
        <v>#DIV/0!</v>
      </c>
      <c r="CU19" s="1073" t="e">
        <f t="array" ref="CU19">SUM(IF($F19:$CA19=нет,0,100)*$F$11:$CA$11*($F$104:$CA$104=CU$4)/100*($F$106:$CA$115*($B$106:$B$115=$B19)*($A$106:$A$115=$A$104)))</f>
        <v>#DIV/0!</v>
      </c>
      <c r="CW19" s="1074" t="e">
        <f>SUM(CG19:CH19,CJ19:CM19,'Реестр ППС'!#REF!,' "Вуз зож"'!S19)</f>
        <v>#REF!</v>
      </c>
      <c r="CX19" s="1074" t="e">
        <f>SUM(CO19:CP19,CR19:CU19,'Реестр ППС'!#REF!,' "Вуз зож"'!T19)</f>
        <v>#REF!</v>
      </c>
      <c r="CY19" s="1075" t="e">
        <f>IF(CX19=0,0,CW19/CX19*100)</f>
        <v>#REF!</v>
      </c>
      <c r="DA19" s="1076" t="e">
        <f>SUM(CI19:CK19,CM19,'Реестр ППС'!#REF!,' "Вуз зож"'!S19)</f>
        <v>#REF!</v>
      </c>
      <c r="DB19" s="1076" t="e">
        <f>SUM(CQ19:CS19,CU19,'Реестр ППС'!#REF!,' "Вуз зож"'!T19)</f>
        <v>#REF!</v>
      </c>
      <c r="DC19" s="1075" t="e">
        <f>IF(DB19=0,0,DA19/DB19*100)</f>
        <v>#REF!</v>
      </c>
      <c r="DD19" s="1080"/>
      <c r="DE19" s="1077" t="e">
        <f>IF(CO19=0,0,TEXT(CG19/CO19*100,"0,0")&amp;"%
="&amp;TEXT(CG19,"0,0")&amp;"/"&amp;TEXT(CO19,"0,0"))</f>
        <v>#DIV/0!</v>
      </c>
      <c r="DF19" s="1077" t="e">
        <f t="shared" ref="DF19:DK19" si="3">IF(CP19=0,0,TEXT(CH19/CP19*100,"0,0")&amp;"%
="&amp;TEXT(CH19,"0,0")&amp;"/"&amp;TEXT(CP19,"0,0"))</f>
        <v>#DIV/0!</v>
      </c>
      <c r="DG19" s="1077" t="e">
        <f t="shared" si="3"/>
        <v>#DIV/0!</v>
      </c>
      <c r="DH19" s="1077" t="e">
        <f t="shared" si="3"/>
        <v>#DIV/0!</v>
      </c>
      <c r="DI19" s="1077" t="e">
        <f t="shared" si="3"/>
        <v>#DIV/0!</v>
      </c>
      <c r="DJ19" s="1077" t="e">
        <f t="shared" si="3"/>
        <v>#DIV/0!</v>
      </c>
      <c r="DK19" s="1077" t="e">
        <f t="shared" si="3"/>
        <v>#DIV/0!</v>
      </c>
      <c r="DL19" s="1078" t="str">
        <f t="shared" ref="DL19:DL55" si="4">A19</f>
        <v>сумма по кафедрам (проверочная)</v>
      </c>
      <c r="DN19" s="1503" t="e">
        <f>IF(CX19=0,0,TEXT(CW19/CX19*100,"0,0")&amp;"%
="&amp;TEXT(CW19,"0,0")&amp;"/"&amp;TEXT(CX19,"0,0"))</f>
        <v>#REF!</v>
      </c>
      <c r="DO19" s="338"/>
      <c r="DP19" s="338"/>
      <c r="DQ19" s="338"/>
      <c r="DR19" s="1502"/>
      <c r="DS19" s="1502"/>
      <c r="DT19" s="1502"/>
      <c r="DU19" s="1502"/>
      <c r="DV19" s="1502"/>
      <c r="DW19" s="1502"/>
      <c r="DX19" s="1502"/>
    </row>
    <row r="20" spans="1:128" s="1055" customFormat="1" ht="15.75" thickBot="1" x14ac:dyDescent="0.25">
      <c r="A20" s="569" t="s">
        <v>92</v>
      </c>
      <c r="B20" s="976" t="s">
        <v>7</v>
      </c>
      <c r="C20" s="565">
        <f>Кадры!C20</f>
        <v>0</v>
      </c>
      <c r="D20" s="2075" t="str">
        <f>CC20</f>
        <v>КМЕДИЦИНЫ</v>
      </c>
      <c r="E20" s="2073" t="s">
        <v>16</v>
      </c>
      <c r="F20" s="1079" t="s">
        <v>31</v>
      </c>
      <c r="G20" s="1039"/>
      <c r="H20" s="934">
        <f t="shared" ref="H20:H51" si="5">IF(G20&gt;0,0,100)</f>
        <v>100</v>
      </c>
      <c r="I20" s="1836"/>
      <c r="J20" s="934">
        <f t="shared" ref="J20:J50" si="6">IF(I20&gt;0,0,100)</f>
        <v>100</v>
      </c>
      <c r="K20" s="1038">
        <f>МероприятияВуза!$AR20+МероприятияВуза!$AQ20</f>
        <v>0</v>
      </c>
      <c r="L20" s="1036">
        <f>МероприятияВуза!$G20+МероприятияВуза!$H20</f>
        <v>0</v>
      </c>
      <c r="M20" s="1037" t="str">
        <f>IF((L20&gt;0),K20/L20*100,IF(K20&gt;0,100,нет))</f>
        <v>нет</v>
      </c>
      <c r="N20" s="1038">
        <f>МероприятияВуза!$AS20</f>
        <v>0</v>
      </c>
      <c r="O20" s="1036">
        <f>МероприятияВуза!$I20+МероприятияВуза!$J20</f>
        <v>0</v>
      </c>
      <c r="P20" s="1037" t="str">
        <f>IF((O20&gt;0),N20/O20*100,IF(N20&gt;0,100,нет))</f>
        <v>нет</v>
      </c>
      <c r="Q20" s="1838"/>
      <c r="R20" s="817">
        <f>IF(Q20&gt;0,0,100)</f>
        <v>100</v>
      </c>
      <c r="S20" s="1852"/>
      <c r="T20" s="1845"/>
      <c r="U20" s="908" t="str">
        <f>IF(T20=0,"нет",S20/T20*100)</f>
        <v>нет</v>
      </c>
      <c r="V20" s="1039"/>
      <c r="W20" s="576"/>
      <c r="X20" s="908" t="str">
        <f t="shared" ref="X20:X75" si="7">IF(W20=0,"нет",V20/W20*100)</f>
        <v>нет</v>
      </c>
      <c r="Y20" s="1862"/>
      <c r="Z20" s="1855"/>
      <c r="AA20" s="908" t="str">
        <f t="shared" ref="AA20:AA75" si="8">IF(Z20=0,"нет",Y20/Z20*100)</f>
        <v>нет</v>
      </c>
      <c r="AB20" s="1039"/>
      <c r="AC20" s="576"/>
      <c r="AD20" s="1040" t="str">
        <f>IF(AC20=0,"нет",AC20/AB20*100)</f>
        <v>нет</v>
      </c>
      <c r="AE20" s="1041"/>
      <c r="AF20" s="1042"/>
      <c r="AG20" s="908" t="str">
        <f t="shared" ref="AG20:AG75" si="9">IF(AF20=0,"нет",AE20/AF20*100)</f>
        <v>нет</v>
      </c>
      <c r="AH20" s="1043"/>
      <c r="AI20" s="1042"/>
      <c r="AJ20" s="908" t="str">
        <f>IF(AI20=0,"нет",AH20/AI20*100)</f>
        <v>нет</v>
      </c>
      <c r="AK20" s="1044">
        <f>ПрофРабота!$Q20</f>
        <v>0</v>
      </c>
      <c r="AL20" s="577">
        <f>ПрофРабота!$R20</f>
        <v>0</v>
      </c>
      <c r="AM20" s="577">
        <f>ПрофРабота!$S20</f>
        <v>0</v>
      </c>
      <c r="AN20" s="934">
        <f>ПрофРабота!$C20</f>
        <v>0</v>
      </c>
      <c r="AO20" s="1038">
        <f>МероприятияВуза!$AT20</f>
        <v>0</v>
      </c>
      <c r="AP20" s="1036">
        <f>МероприятияВуза!$K20</f>
        <v>0</v>
      </c>
      <c r="AQ20" s="934" t="str">
        <f>IF(AP20&lt;&gt;0,AO20/AP20*100,IF(AO20&gt;0,100,нет))</f>
        <v>нет</v>
      </c>
      <c r="AR20" s="1045">
        <f>'ДПО(Финансы)'!$R20</f>
        <v>0</v>
      </c>
      <c r="AS20" s="1046">
        <f>'ДПО(Финансы)'!$D20</f>
        <v>80000</v>
      </c>
      <c r="AT20" s="1047">
        <f>IF(($E20="да"),IF(AR20=0,0,AR20/$C20),"нет")</f>
        <v>0</v>
      </c>
      <c r="AU20" s="1514">
        <f>IF(($E20="да"),IF(AS20=0,"нет",AR20/AS20*100),"нет")</f>
        <v>0</v>
      </c>
      <c r="AV20" s="1045">
        <f>'ДПО(Финансы)'!$R20</f>
        <v>0</v>
      </c>
      <c r="AW20" s="1046">
        <f>'ИДО(Финансы)'!$R20</f>
        <v>0</v>
      </c>
      <c r="AX20" s="1046">
        <f>'ДПО(Финансы)'!$S20</f>
        <v>106611.45</v>
      </c>
      <c r="AY20" s="1046">
        <f>'ИДО(Финансы)'!$S20</f>
        <v>0</v>
      </c>
      <c r="AZ20" s="1049" t="e">
        <f t="shared" si="0"/>
        <v>#DIV/0!</v>
      </c>
      <c r="BA20" s="1515">
        <f t="array" ref="BA20">IF(($E20="да"),IF($AX20=0,"нет",$AV20/$AX20*100-100),"нет")</f>
        <v>-100</v>
      </c>
      <c r="BB20" s="1516">
        <f t="array" ref="BB20">IF(($E20="да"),IF($AX20=0,"нет",$AV20/$AX20*100),"нет")</f>
        <v>0</v>
      </c>
      <c r="BC20" s="1517">
        <f t="shared" si="1"/>
        <v>0</v>
      </c>
      <c r="BD20" s="1517" t="e">
        <f t="array" ref="BD20">IF(($E20="да"),IF($AZ20&gt;$AZ$17,$AZ20/$AZ$16*BD$16,нет),нет)</f>
        <v>#DIV/0!</v>
      </c>
      <c r="BE20" s="1045">
        <f>'ИДО(Финансы)'!$R20</f>
        <v>0</v>
      </c>
      <c r="BF20" s="1046">
        <f>'ИДО(Финансы)'!D20</f>
        <v>0</v>
      </c>
      <c r="BG20" s="1047" t="str">
        <f>IF(($F20="да"),IF(BE20=0,0,BE20/$C20),"нет")</f>
        <v>нет</v>
      </c>
      <c r="BH20" s="1514" t="str">
        <f>IF(($F20="да"),IF(BF20=0,"нет",BE20/BF20*100),"нет")</f>
        <v>нет</v>
      </c>
      <c r="BI20" s="1518">
        <f t="array" ref="BI20">IF(($E20="да")+($F20="да"),IF((BF20+AS20)=0,"нет",(AR20+BE20)/(BF20+AS20)*100),"нет")</f>
        <v>0</v>
      </c>
      <c r="BJ20" s="1051">
        <f>Кадры!$I20</f>
        <v>0</v>
      </c>
      <c r="BK20" s="1048">
        <f>Кадры!$O20</f>
        <v>0</v>
      </c>
      <c r="BL20" s="943">
        <f>Кадры!$K20</f>
        <v>0</v>
      </c>
      <c r="BM20" s="1052" t="str">
        <f t="array" ref="BM20">IF(BL20=0,"нет",BK20/BL20*100)</f>
        <v>нет</v>
      </c>
      <c r="BN20" s="1038">
        <f>Кадры!E20</f>
        <v>0</v>
      </c>
      <c r="BO20" s="943">
        <f>Кадры!$K20</f>
        <v>0</v>
      </c>
      <c r="BP20" s="1050" t="str">
        <f>IF(BN20=0,нет,BO20/BN20)</f>
        <v>нет</v>
      </c>
      <c r="BQ20" s="342" t="e">
        <f>IF(BJ20/BN20&lt;$BP$17,0,120)</f>
        <v>#DIV/0!</v>
      </c>
      <c r="BR20" s="1048">
        <f>Кадры!$L20</f>
        <v>0</v>
      </c>
      <c r="BS20" s="1543">
        <f>Кадры!$J20</f>
        <v>0</v>
      </c>
      <c r="BT20" s="1050">
        <f>IF(BS20=0,0,BR20/BS20*100)</f>
        <v>0</v>
      </c>
      <c r="BU20" s="934">
        <f>100-BT20</f>
        <v>100</v>
      </c>
      <c r="BV20" s="1038">
        <f>Кадры!$D20</f>
        <v>0</v>
      </c>
      <c r="BW20" s="1036">
        <f>Кадры!$F20</f>
        <v>0</v>
      </c>
      <c r="BX20" s="934" t="e">
        <f>BW20/BV20*100</f>
        <v>#DIV/0!</v>
      </c>
      <c r="BY20" s="1048">
        <f>Кадры!$P20</f>
        <v>0</v>
      </c>
      <c r="BZ20" s="943">
        <f>Кадры!$L20</f>
        <v>0</v>
      </c>
      <c r="CA20" s="1033" t="str">
        <f>IF(BZ20=0,"нет",BY20/BZ20*100)</f>
        <v>нет</v>
      </c>
      <c r="CC20" s="986" t="s">
        <v>335</v>
      </c>
      <c r="CD20" s="1053"/>
      <c r="CE20" s="1054"/>
      <c r="CG20" s="1056" t="e">
        <f t="array" ref="CG20">SUM(IF($F20:$CA20=нет,0,IF($F20:$CA20&gt;=$F$16:$CA$16,$F$16:$CA$16,IF($F20:$CA20&lt;$F$17:$CA$17,0,$F20:$CA20)))*$F$11:$CA$11*($F$104:$CA$104=CG$4)/$F$16:$CA$16*($F$106:$CA$115*($B$106:$B$115=$B20)*($A$106:$A$115=$A$104)))</f>
        <v>#DIV/0!</v>
      </c>
      <c r="CH20" s="1056" t="e">
        <f t="array" ref="CH20">SUM(IF($F20:$CA20=нет,0,IF($F20:$CA20&gt;=$F$16:$CA$16,$F$16:$CA$16,IF($F20:$CA20&lt;$F$17:$CA$17,0,$F20:$CA20)))*$F$11:$CA$11*($F$104:$CA$104=CH$4)/$F$16:$CA$16*($F$106:$CA$115*($B$106:$B$115=$B20)*($A$106:$A$115=$A$104)))</f>
        <v>#DIV/0!</v>
      </c>
      <c r="CI20" s="1056" t="e">
        <f t="array" ref="CI20">SUM(IF($F20:$CA20=нет,0,IF($F20:$CA20&gt;=$F$16:$CA$16,$F$16:$CA$16,IF($F20:$CA20&lt;$F$17:$CA$17,0,$F20:$CA20)))*$F$11:$CA$11*($F$105:$CA$105=CI$4)/$F$16:$CA$16*($F$106:$CA$115*($B$106:$B$115=$B20)*($A$106:$A$115=$A$104)))</f>
        <v>#DIV/0!</v>
      </c>
      <c r="CJ20" s="1072" t="e">
        <f>'НУ(ВИД3)'!D21</f>
        <v>#DIV/0!</v>
      </c>
      <c r="CK20" s="1056" t="e">
        <f t="array" ref="CK20">SUM(IF($F20:$CA20=нет,0,IF($F20:$CA20&gt;=$F$16:$CA$16,$F$16:$CA$16,IF($F20:$CA20&lt;$F$17:$CA$17,0,$F20:$CA20)))*$F$11:$CA$11*($F$104:$CA$104=CK$4)/$F$16:$CA$16*($F$106:$CA$115*($B$106:$B$115=$B20)*($A$106:$A$115=$A$104)))</f>
        <v>#DIV/0!</v>
      </c>
      <c r="CL20" s="1056" t="e">
        <f t="array" ref="CL20">SUM(IF($F20:$CA20=нет,0,IF($F20:$CA20&gt;=$F$16:$CA$16,$F$16:$CA$16,IF($F20:$CA20&lt;$F$17:$CA$17,0,$F20:$CA20)))*$F$11:$CA$11*($F$104:$CA$104=CL$4)/$F$16:$CA$16*($F$106:$CA$115*($B$106:$B$115=$B20)*($A$106:$A$115=$A$104)))</f>
        <v>#DIV/0!</v>
      </c>
      <c r="CM20" s="1056" t="e">
        <f t="array" ref="CM20">SUM(IF($F20:$CA20=нет,0,IF($F20:$CA20&gt;=$F$16:$CA$16,$F$16:$CA$16,IF($F20:$CA20&lt;$F$17:$CA$17,0,$F20:$CA20)))*$F$11:$CA$11*($F$104:$CA$104=CM$4)/$F$16:$CA$16*($F$106:$CA$115*($B$106:$B$115=$B20)*($A$106:$A$115=$A$104)))</f>
        <v>#DIV/0!</v>
      </c>
      <c r="CO20" s="1057" t="e">
        <f t="array" ref="CO20">SUM(IF($F20:$CA20=нет,0,100)*$F$11:$CA$11*($F$104:$CA$104=CO$4)/100*($F$106:$CA$115*($B$106:$B$115=$B20)*($A$106:$A$115=$A$104)))</f>
        <v>#DIV/0!</v>
      </c>
      <c r="CP20" s="1057" t="e">
        <f t="array" ref="CP20">SUM(IF($F20:$CA20=нет,0,100)*$F$11:$CA$11*($F$104:$CA$104=CP$4)/100*($F$106:$CA$115*($B$106:$B$115=$B20)*($A$106:$A$115=$A$104)))</f>
        <v>#DIV/0!</v>
      </c>
      <c r="CQ20" s="1057" t="e">
        <f t="array" ref="CQ20">SUM(IF($F20:$CA20=нет,0,100)*$F$11:$CA$11*($F$105:$CA$105=CQ$4)/100*($F$106:$CA$115*($B$106:$B$115=$B20)*($A$106:$A$115=$A$104)))</f>
        <v>#DIV/0!</v>
      </c>
      <c r="CR20" s="1057">
        <f>'НУ(ВИД3)'!E21</f>
        <v>21</v>
      </c>
      <c r="CS20" s="1057" t="e">
        <f t="array" ref="CS20">SUM(IF($F20:$CA20=нет,0,100)*$F$11:$CA$11*($F$104:$CA$104=CS$4)/100*($F$106:$CA$115*($B$106:$B$115=$B20)*($A$106:$A$115=$A$104)))</f>
        <v>#DIV/0!</v>
      </c>
      <c r="CT20" s="1057" t="e">
        <f t="array" ref="CT20">SUM(IF($F20:$CA20=нет,0,100)*$F$11:$CA$11*($F$104:$CA$104=CT$4)/100*($F$106:$CA$115*($B$106:$B$115=$B20)*($A$106:$A$115=$A$104)))</f>
        <v>#DIV/0!</v>
      </c>
      <c r="CU20" s="1057" t="e">
        <f t="array" ref="CU20">SUM(IF($F20:$CA20=нет,0,100)*$F$11:$CA$11*($F$104:$CA$104=CU$4)/100*($F$106:$CA$115*($B$106:$B$115=$B20)*($A$106:$A$115=$A$104)))</f>
        <v>#DIV/0!</v>
      </c>
      <c r="CW20" s="1059" t="e">
        <f>SUM(CG20:CH20,CJ20:CM20,'Реестр ППС'!#REF!,' "Вуз зож"'!S20)</f>
        <v>#REF!</v>
      </c>
      <c r="CX20" s="1059" t="e">
        <f>SUM(CO20:CP20,CR20:CU20,'Реестр ППС'!#REF!,' "Вуз зож"'!T20)</f>
        <v>#REF!</v>
      </c>
      <c r="CY20" s="1058" t="e">
        <f t="shared" ref="CY20:CY56" si="10">IF(CX20=0,0,CW20/CX20*100)</f>
        <v>#REF!</v>
      </c>
      <c r="DA20" s="1060" t="e">
        <f>SUM(CI20:CK20,CM20,'Реестр ППС'!#REF!,' "Вуз зож"'!S20)</f>
        <v>#REF!</v>
      </c>
      <c r="DB20" s="1060" t="e">
        <f>SUM(CQ20:CS20,CU20,'Реестр ППС'!#REF!,' "Вуз зож"'!T20)</f>
        <v>#REF!</v>
      </c>
      <c r="DC20" s="1058" t="e">
        <f>IF(DB20=0,0,DA20/DB20*100)</f>
        <v>#REF!</v>
      </c>
      <c r="DD20" s="1054"/>
      <c r="DE20" s="1061" t="e">
        <f t="shared" ref="DE20:DE43" si="11">IF(CO20=0,0,TEXT(CG20/CO20*100,"0,0")&amp;"%
="&amp;TEXT(CG20,"0,0")&amp;"/"&amp;TEXT(CO20,"0,0"))</f>
        <v>#DIV/0!</v>
      </c>
      <c r="DF20" s="1061" t="e">
        <f t="shared" ref="DF20:DF44" si="12">IF(CP20=0,0,TEXT(CH20/CP20*100,"0,0")&amp;"%
="&amp;TEXT(CH20,"0,0")&amp;"/"&amp;TEXT(CP20,"0,0"))</f>
        <v>#DIV/0!</v>
      </c>
      <c r="DG20" s="1061" t="e">
        <f t="shared" ref="DG20:DG44" si="13">IF(CQ20=0,0,TEXT(CI20/CQ20*100,"0,0")&amp;"%
="&amp;TEXT(CI20,"0,0")&amp;"/"&amp;TEXT(CQ20,"0,0"))</f>
        <v>#DIV/0!</v>
      </c>
      <c r="DH20" s="1061" t="e">
        <f t="shared" ref="DH20:DH44" si="14">IF(CR20=0,0,TEXT(CJ20/CR20*100,"0,0")&amp;"%
="&amp;TEXT(CJ20,"0,0")&amp;"/"&amp;TEXT(CR20,"0,0"))</f>
        <v>#DIV/0!</v>
      </c>
      <c r="DI20" s="1061" t="e">
        <f t="shared" ref="DI20:DI44" si="15">IF(CS20=0,0,TEXT(CK20/CS20*100,"0,0")&amp;"%
="&amp;TEXT(CK20,"0,0")&amp;"/"&amp;TEXT(CS20,"0,0"))</f>
        <v>#DIV/0!</v>
      </c>
      <c r="DJ20" s="1061" t="e">
        <f t="shared" ref="DJ20:DJ44" si="16">IF(CT20=0,0,TEXT(CL20/CT20*100,"0,0")&amp;"%
="&amp;TEXT(CL20,"0,0")&amp;"/"&amp;TEXT(CT20,"0,0"))</f>
        <v>#DIV/0!</v>
      </c>
      <c r="DK20" s="1061" t="e">
        <f t="shared" ref="DK20:DK44" si="17">IF(CU20=0,0,TEXT(CM20/CU20*100,"0,0")&amp;"%
="&amp;TEXT(CM20,"0,0")&amp;"/"&amp;TEXT(CU20,"0,0"))</f>
        <v>#DIV/0!</v>
      </c>
      <c r="DL20" s="1062" t="str">
        <f t="shared" si="4"/>
        <v>Акушерства и гинекологии с курсом ДПО</v>
      </c>
      <c r="DM20" s="1055" t="str">
        <f t="shared" ref="DM20:DM54" si="18">D20</f>
        <v>КМЕДИЦИНЫ</v>
      </c>
      <c r="DN20" s="1504" t="e">
        <f>IF(CX20=0,0,TEXT(CW20/CX20*100,"0,0")&amp;"%
="&amp;TEXT(CW20,"0,0")&amp;"/"&amp;TEXT(CX20,"0,0"))</f>
        <v>#REF!</v>
      </c>
      <c r="DO20" s="338"/>
      <c r="DP20" s="338"/>
      <c r="DQ20" s="338"/>
      <c r="DR20" s="318"/>
      <c r="DS20" s="318"/>
      <c r="DT20" s="318"/>
      <c r="DU20" s="318"/>
      <c r="DV20" s="318"/>
      <c r="DW20" s="318"/>
      <c r="DX20" s="318"/>
    </row>
    <row r="21" spans="1:128" s="215" customFormat="1" ht="15.75" thickBot="1" x14ac:dyDescent="0.25">
      <c r="A21" s="550" t="s">
        <v>98</v>
      </c>
      <c r="B21" s="340" t="s">
        <v>7</v>
      </c>
      <c r="C21" s="482">
        <f>Кадры!C21</f>
        <v>0</v>
      </c>
      <c r="D21" s="2076" t="str">
        <f t="shared" ref="D21:D75" si="19">CC21</f>
        <v>КМЕДИЦИНЫ</v>
      </c>
      <c r="E21" s="2074" t="s">
        <v>16</v>
      </c>
      <c r="F21" s="859" t="s">
        <v>31</v>
      </c>
      <c r="G21" s="904"/>
      <c r="H21" s="817">
        <f t="shared" si="5"/>
        <v>100</v>
      </c>
      <c r="I21" s="1748"/>
      <c r="J21" s="817">
        <f t="shared" si="6"/>
        <v>100</v>
      </c>
      <c r="K21" s="1573">
        <f>МероприятияВуза!$AR21+МероприятияВуза!$AQ21</f>
        <v>0</v>
      </c>
      <c r="L21" s="919">
        <f>МероприятияВуза!$G21+МероприятияВуза!$H21</f>
        <v>0</v>
      </c>
      <c r="M21" s="925" t="str">
        <f t="shared" ref="M21:M75" si="20">IF((L21&gt;0),K21/L21*100,IF(K21&gt;0,100,нет))</f>
        <v>нет</v>
      </c>
      <c r="N21" s="923">
        <f>МероприятияВуза!$AS21</f>
        <v>0</v>
      </c>
      <c r="O21" s="919">
        <f>МероприятияВуза!$I21+МероприятияВуза!$J21</f>
        <v>0</v>
      </c>
      <c r="P21" s="925" t="str">
        <f t="shared" ref="P21:P75" si="21">IF((O21&gt;0),N21/O21*100,IF(N21&gt;0,100,нет))</f>
        <v>нет</v>
      </c>
      <c r="Q21" s="1838"/>
      <c r="R21" s="817">
        <f t="shared" ref="R21:R78" si="22">IF(Q21&gt;0,0,100)</f>
        <v>100</v>
      </c>
      <c r="S21" s="1847"/>
      <c r="T21" s="1848"/>
      <c r="U21" s="844" t="str">
        <f t="shared" ref="U21:U75" si="23">IF(T21=0,"нет",S21/T21*100)</f>
        <v>нет</v>
      </c>
      <c r="V21" s="904"/>
      <c r="W21" s="909"/>
      <c r="X21" s="844" t="str">
        <f t="shared" si="7"/>
        <v>нет</v>
      </c>
      <c r="Y21" s="1857"/>
      <c r="Z21" s="1858"/>
      <c r="AA21" s="844" t="str">
        <f t="shared" si="8"/>
        <v>нет</v>
      </c>
      <c r="AB21" s="1748"/>
      <c r="AC21" s="909"/>
      <c r="AD21" s="912" t="str">
        <f t="shared" ref="AD21:AD78" si="24">IF(AC21=0,"нет",AC21/AB21*100)</f>
        <v>нет</v>
      </c>
      <c r="AE21" s="947"/>
      <c r="AF21" s="949"/>
      <c r="AG21" s="844" t="str">
        <f t="shared" si="9"/>
        <v>нет</v>
      </c>
      <c r="AH21" s="951"/>
      <c r="AI21" s="949"/>
      <c r="AJ21" s="844" t="str">
        <f t="shared" ref="AJ21:AJ75" si="25">IF(AI21=0,"нет",AH21/AI21*100)</f>
        <v>нет</v>
      </c>
      <c r="AK21" s="935">
        <f>ПрофРабота!$Q21</f>
        <v>0</v>
      </c>
      <c r="AL21" s="485">
        <f>ПрофРабота!$R21</f>
        <v>0</v>
      </c>
      <c r="AM21" s="485">
        <f>ПрофРабота!$S21</f>
        <v>0</v>
      </c>
      <c r="AN21" s="817">
        <f>ПрофРабота!$C21</f>
        <v>0</v>
      </c>
      <c r="AO21" s="923">
        <f>МероприятияВуза!$AT21</f>
        <v>0</v>
      </c>
      <c r="AP21" s="919">
        <f>МероприятияВуза!$K21</f>
        <v>0</v>
      </c>
      <c r="AQ21" s="817" t="str">
        <f t="shared" ref="AQ21:AQ75" si="26">IF(AP21&lt;&gt;0,AO21/AP21*100,IF(AO21&gt;0,100,нет))</f>
        <v>нет</v>
      </c>
      <c r="AR21" s="938">
        <f>'ДПО(Финансы)'!$R21</f>
        <v>0</v>
      </c>
      <c r="AS21" s="939">
        <f>'ДПО(Финансы)'!$D21</f>
        <v>0</v>
      </c>
      <c r="AT21" s="510">
        <f t="shared" ref="AT21:AT75" si="27">IF(($E21="да"),IF(AR21=0,0,AR21/$C21),"нет")</f>
        <v>0</v>
      </c>
      <c r="AU21" s="1519" t="str">
        <f t="shared" ref="AU21:AU75" si="28">IF(($E21="да"),IF(AS21=0,"нет",AR21/AS21*100),"нет")</f>
        <v>нет</v>
      </c>
      <c r="AV21" s="938">
        <f>'ДПО(Финансы)'!$R21</f>
        <v>0</v>
      </c>
      <c r="AW21" s="939">
        <f>'ИДО(Финансы)'!$R21</f>
        <v>61200</v>
      </c>
      <c r="AX21" s="939">
        <f>'ДПО(Финансы)'!$S21</f>
        <v>0</v>
      </c>
      <c r="AY21" s="939">
        <f>'ИДО(Финансы)'!$S21</f>
        <v>123000</v>
      </c>
      <c r="AZ21" s="839" t="e">
        <f t="shared" si="0"/>
        <v>#DIV/0!</v>
      </c>
      <c r="BA21" s="1520" t="str">
        <f t="array" ref="BA21">IF(($E21="да"),IF($AX21=0,"нет",$AV21/$AX21*100-100),"нет")</f>
        <v>нет</v>
      </c>
      <c r="BB21" s="1521" t="str">
        <f t="array" ref="BB21">IF(($E21="да"),IF($AX21=0,"нет",$AV21/$AX21*100),"нет")</f>
        <v>нет</v>
      </c>
      <c r="BC21" s="1522" t="str">
        <f t="shared" si="1"/>
        <v>нет</v>
      </c>
      <c r="BD21" s="1522" t="e">
        <f t="array" ref="BD21">IF(($E21="да"),IF($AZ21&gt;$AZ$17,$AZ21/$AZ$16*BD$16,нет),нет)</f>
        <v>#DIV/0!</v>
      </c>
      <c r="BE21" s="938">
        <f>'ИДО(Финансы)'!$R21</f>
        <v>61200</v>
      </c>
      <c r="BF21" s="939">
        <f>'ИДО(Финансы)'!D21</f>
        <v>61200</v>
      </c>
      <c r="BG21" s="510" t="str">
        <f t="shared" ref="BG21:BG75" si="29">IF(($F21="да"),IF(BE21=0,0,BE21/$C21),"нет")</f>
        <v>нет</v>
      </c>
      <c r="BH21" s="1519" t="str">
        <f t="shared" ref="BH21:BH75" si="30">IF(($F21="да"),IF(BF21=0,"нет",BE21/BF21*100),"нет")</f>
        <v>нет</v>
      </c>
      <c r="BI21" s="1523">
        <f t="array" ref="BI21">IF(($E21="да")+($F21="да"),IF((BF21+AS21)=0,"нет",(AR21+BE21)/(BF21+AS21)*100),"нет")</f>
        <v>100</v>
      </c>
      <c r="BJ21" s="829">
        <f>Кадры!$I21</f>
        <v>0</v>
      </c>
      <c r="BK21" s="940">
        <f>Кадры!$O21</f>
        <v>0</v>
      </c>
      <c r="BL21" s="941">
        <f>Кадры!$K21</f>
        <v>0</v>
      </c>
      <c r="BM21" s="821" t="str">
        <f t="array" ref="BM21">IF(BL21=0,"нет",BK21/BL21*100)</f>
        <v>нет</v>
      </c>
      <c r="BN21" s="923">
        <f>Кадры!E21</f>
        <v>0</v>
      </c>
      <c r="BO21" s="941">
        <f>Кадры!$K21</f>
        <v>0</v>
      </c>
      <c r="BP21" s="343" t="str">
        <f t="shared" ref="BP21:BP75" si="31">IF(BN21=0,нет,BO21/BN21)</f>
        <v>нет</v>
      </c>
      <c r="BQ21" s="342" t="e">
        <f t="shared" ref="BQ21:BQ71" si="32">IF(BJ21/BN21&lt;$BP$17,0,120)</f>
        <v>#DIV/0!</v>
      </c>
      <c r="BR21" s="940">
        <f>Кадры!$L21</f>
        <v>0</v>
      </c>
      <c r="BS21" s="1544">
        <f>Кадры!$J21</f>
        <v>0</v>
      </c>
      <c r="BT21" s="343">
        <f t="shared" ref="BT21:BT75" si="33">IF(BS21=0,0,BR21/BS21*100)</f>
        <v>0</v>
      </c>
      <c r="BU21" s="817">
        <f t="shared" ref="BU21:BU75" si="34">100-BT21</f>
        <v>100</v>
      </c>
      <c r="BV21" s="923">
        <f>Кадры!$D21</f>
        <v>0</v>
      </c>
      <c r="BW21" s="919">
        <f>Кадры!$F21</f>
        <v>0</v>
      </c>
      <c r="BX21" s="817" t="e">
        <f t="shared" ref="BX21:BX77" si="35">BW21/BV21*100</f>
        <v>#DIV/0!</v>
      </c>
      <c r="BY21" s="940">
        <f>Кадры!$P21</f>
        <v>0</v>
      </c>
      <c r="BZ21" s="941">
        <f>Кадры!$L21</f>
        <v>0</v>
      </c>
      <c r="CA21" s="342" t="str">
        <f t="shared" ref="CA21:CA75" si="36">IF(BZ21=0,"нет",BY21/BZ21*100)</f>
        <v>нет</v>
      </c>
      <c r="CC21" s="986" t="s">
        <v>335</v>
      </c>
      <c r="CD21" s="268"/>
      <c r="CE21" s="313"/>
      <c r="CG21" s="335" t="e">
        <f t="array" ref="CG21">SUM(IF($F21:$CA21=нет,0,IF($F21:$CA21&gt;=$F$16:$CA$16,$F$16:$CA$16,IF($F21:$CA21&lt;$F$17:$CA$17,0,$F21:$CA21)))*$F$11:$CA$11*($F$104:$CA$104=CG$4)/$F$16:$CA$16*($F$106:$CA$115*($B$106:$B$115=$B21)*($A$106:$A$115=$A$104)))</f>
        <v>#DIV/0!</v>
      </c>
      <c r="CH21" s="335" t="e">
        <f t="array" ref="CH21">SUM(IF($F21:$CA21=нет,0,IF($F21:$CA21&gt;=$F$16:$CA$16,$F$16:$CA$16,IF($F21:$CA21&lt;$F$17:$CA$17,0,$F21:$CA21)))*$F$11:$CA$11*($F$104:$CA$104=CH$4)/$F$16:$CA$16*($F$106:$CA$115*($B$106:$B$115=$B21)*($A$106:$A$115=$A$104)))</f>
        <v>#DIV/0!</v>
      </c>
      <c r="CI21" s="335" t="e">
        <f t="array" ref="CI21">SUM(IF($F21:$CA21=нет,0,IF($F21:$CA21&gt;=$F$16:$CA$16,$F$16:$CA$16,IF($F21:$CA21&lt;$F$17:$CA$17,0,$F21:$CA21)))*$F$11:$CA$11*($F$105:$CA$105=CI$4)/$F$16:$CA$16*($F$106:$CA$115*($B$106:$B$115=$B21)*($A$106:$A$115=$A$104)))</f>
        <v>#DIV/0!</v>
      </c>
      <c r="CJ21" s="1072" t="e">
        <f>'НУ(ВИД3)'!D22</f>
        <v>#DIV/0!</v>
      </c>
      <c r="CK21" s="335" t="e">
        <f t="array" ref="CK21">SUM(IF($F21:$CA21=нет,0,IF($F21:$CA21&gt;=$F$16:$CA$16,$F$16:$CA$16,IF($F21:$CA21&lt;$F$17:$CA$17,0,$F21:$CA21)))*$F$11:$CA$11*($F$104:$CA$104=CK$4)/$F$16:$CA$16*($F$106:$CA$115*($B$106:$B$115=$B21)*($A$106:$A$115=$A$104)))</f>
        <v>#DIV/0!</v>
      </c>
      <c r="CL21" s="335" t="e">
        <f t="array" ref="CL21">SUM(IF($F21:$CA21=нет,0,IF($F21:$CA21&gt;=$F$16:$CA$16,$F$16:$CA$16,IF($F21:$CA21&lt;$F$17:$CA$17,0,$F21:$CA21)))*$F$11:$CA$11*($F$104:$CA$104=CL$4)/$F$16:$CA$16*($F$106:$CA$115*($B$106:$B$115=$B21)*($A$106:$A$115=$A$104)))</f>
        <v>#DIV/0!</v>
      </c>
      <c r="CM21" s="335" t="e">
        <f t="array" ref="CM21">SUM(IF($F21:$CA21=нет,0,IF($F21:$CA21&gt;=$F$16:$CA$16,$F$16:$CA$16,IF($F21:$CA21&lt;$F$17:$CA$17,0,$F21:$CA21)))*$F$11:$CA$11*($F$104:$CA$104=CM$4)/$F$16:$CA$16*($F$106:$CA$115*($B$106:$B$115=$B21)*($A$106:$A$115=$A$104)))</f>
        <v>#DIV/0!</v>
      </c>
      <c r="CO21" s="1000" t="e">
        <f t="array" ref="CO21">SUM(IF($F21:$CA21=нет,0,100)*$F$11:$CA$11*($F$104:$CA$104=CO$4)/100*($F$106:$CA$115*($B$106:$B$115=$B21)*($A$106:$A$115=$A$104)))</f>
        <v>#DIV/0!</v>
      </c>
      <c r="CP21" s="1000" t="e">
        <f t="array" ref="CP21">SUM(IF($F21:$CA21=нет,0,100)*$F$11:$CA$11*($F$104:$CA$104=CP$4)/100*($F$106:$CA$115*($B$106:$B$115=$B21)*($A$106:$A$115=$A$104)))</f>
        <v>#DIV/0!</v>
      </c>
      <c r="CQ21" s="1000" t="e">
        <f t="array" ref="CQ21">SUM(IF($F21:$CA21=нет,0,100)*$F$11:$CA$11*($F$105:$CA$105=CQ$4)/100*($F$106:$CA$115*($B$106:$B$115=$B21)*($A$106:$A$115=$A$104)))</f>
        <v>#DIV/0!</v>
      </c>
      <c r="CR21" s="1057">
        <f>'НУ(ВИД3)'!E22</f>
        <v>21</v>
      </c>
      <c r="CS21" s="1000" t="e">
        <f t="array" ref="CS21">SUM(IF($F21:$CA21=нет,0,100)*$F$11:$CA$11*($F$104:$CA$104=CS$4)/100*($F$106:$CA$115*($B$106:$B$115=$B21)*($A$106:$A$115=$A$104)))</f>
        <v>#DIV/0!</v>
      </c>
      <c r="CT21" s="1000" t="e">
        <f t="array" ref="CT21">SUM(IF($F21:$CA21=нет,0,100)*$F$11:$CA$11*($F$104:$CA$104=CT$4)/100*($F$106:$CA$115*($B$106:$B$115=$B21)*($A$106:$A$115=$A$104)))</f>
        <v>#DIV/0!</v>
      </c>
      <c r="CU21" s="1000" t="e">
        <f t="array" ref="CU21">SUM(IF($F21:$CA21=нет,0,100)*$F$11:$CA$11*($F$104:$CA$104=CU$4)/100*($F$106:$CA$115*($B$106:$B$115=$B21)*($A$106:$A$115=$A$104)))</f>
        <v>#DIV/0!</v>
      </c>
      <c r="CW21" s="333" t="e">
        <f>SUM(CG21:CH21,CJ21:CM21,'Реестр ППС'!#REF!,' "Вуз зож"'!S21)</f>
        <v>#REF!</v>
      </c>
      <c r="CX21" s="333" t="e">
        <f>SUM(CO21:CP21,CR21:CU21,'Реестр ППС'!#REF!,' "Вуз зож"'!T21)</f>
        <v>#REF!</v>
      </c>
      <c r="CY21" s="332" t="e">
        <f t="shared" si="10"/>
        <v>#REF!</v>
      </c>
      <c r="DA21" s="336" t="e">
        <f>SUM(CI21:CK21,CM21,'Реестр ППС'!#REF!,' "Вуз зож"'!S21)</f>
        <v>#REF!</v>
      </c>
      <c r="DB21" s="336" t="e">
        <f>SUM(CQ21:CS21,CU21,'Реестр ППС'!#REF!,' "Вуз зож"'!T21)</f>
        <v>#REF!</v>
      </c>
      <c r="DC21" s="332" t="e">
        <f t="shared" ref="DC21:DC75" si="37">IF(DB21=0,0,DA21/DB21*100)</f>
        <v>#REF!</v>
      </c>
      <c r="DD21" s="313"/>
      <c r="DE21" s="337" t="e">
        <f t="shared" si="11"/>
        <v>#DIV/0!</v>
      </c>
      <c r="DF21" s="337" t="e">
        <f t="shared" si="12"/>
        <v>#DIV/0!</v>
      </c>
      <c r="DG21" s="337" t="e">
        <f t="shared" si="13"/>
        <v>#DIV/0!</v>
      </c>
      <c r="DH21" s="337" t="e">
        <f t="shared" si="14"/>
        <v>#DIV/0!</v>
      </c>
      <c r="DI21" s="337" t="e">
        <f t="shared" si="15"/>
        <v>#DIV/0!</v>
      </c>
      <c r="DJ21" s="337" t="e">
        <f t="shared" si="16"/>
        <v>#DIV/0!</v>
      </c>
      <c r="DK21" s="337" t="e">
        <f t="shared" si="17"/>
        <v>#DIV/0!</v>
      </c>
      <c r="DL21" s="334" t="str">
        <f t="shared" si="4"/>
        <v>Анатомии</v>
      </c>
      <c r="DM21" s="215" t="str">
        <f t="shared" si="18"/>
        <v>КМЕДИЦИНЫ</v>
      </c>
      <c r="DN21" s="1505" t="e">
        <f t="shared" ref="DN21:DN75" si="38">IF(CX21=0,0,TEXT(CW21/CX21*100,"0,0")&amp;"%
="&amp;TEXT(CW21,"0,0")&amp;"/"&amp;TEXT(CX21,"0,0"))</f>
        <v>#REF!</v>
      </c>
      <c r="DO21" s="338"/>
      <c r="DP21" s="338"/>
      <c r="DQ21" s="338"/>
      <c r="DR21" s="318"/>
      <c r="DS21" s="318"/>
      <c r="DT21" s="318"/>
      <c r="DU21" s="318"/>
      <c r="DV21" s="318"/>
      <c r="DW21" s="318"/>
      <c r="DX21" s="318"/>
    </row>
    <row r="22" spans="1:128" s="215" customFormat="1" ht="15.75" thickBot="1" x14ac:dyDescent="0.25">
      <c r="A22" s="550" t="s">
        <v>507</v>
      </c>
      <c r="B22" s="340" t="s">
        <v>7</v>
      </c>
      <c r="C22" s="482">
        <f>Кадры!C22</f>
        <v>0</v>
      </c>
      <c r="D22" s="2076" t="str">
        <f t="shared" si="19"/>
        <v>КМЕДИЦИНЫ</v>
      </c>
      <c r="E22" s="2074" t="s">
        <v>16</v>
      </c>
      <c r="F22" s="859" t="s">
        <v>31</v>
      </c>
      <c r="G22" s="904"/>
      <c r="H22" s="817">
        <f t="shared" si="5"/>
        <v>100</v>
      </c>
      <c r="I22" s="1748"/>
      <c r="J22" s="817">
        <f t="shared" si="6"/>
        <v>100</v>
      </c>
      <c r="K22" s="1573">
        <f>МероприятияВуза!$AR22+МероприятияВуза!$AQ22</f>
        <v>0</v>
      </c>
      <c r="L22" s="919">
        <f>МероприятияВуза!$G22+МероприятияВуза!$H22</f>
        <v>0</v>
      </c>
      <c r="M22" s="925" t="str">
        <f t="shared" si="20"/>
        <v>нет</v>
      </c>
      <c r="N22" s="923">
        <f>МероприятияВуза!$AS22</f>
        <v>0</v>
      </c>
      <c r="O22" s="919">
        <f>МероприятияВуза!$I22+МероприятияВуза!$J22</f>
        <v>0</v>
      </c>
      <c r="P22" s="925" t="str">
        <f t="shared" si="21"/>
        <v>нет</v>
      </c>
      <c r="Q22" s="1838"/>
      <c r="R22" s="817">
        <f t="shared" si="22"/>
        <v>100</v>
      </c>
      <c r="S22" s="1847"/>
      <c r="T22" s="1848"/>
      <c r="U22" s="844" t="str">
        <f t="shared" si="23"/>
        <v>нет</v>
      </c>
      <c r="V22" s="904"/>
      <c r="W22" s="909"/>
      <c r="X22" s="844" t="str">
        <f t="shared" si="7"/>
        <v>нет</v>
      </c>
      <c r="Y22" s="1857"/>
      <c r="Z22" s="1858"/>
      <c r="AA22" s="844" t="str">
        <f t="shared" si="8"/>
        <v>нет</v>
      </c>
      <c r="AB22" s="1748"/>
      <c r="AC22" s="909"/>
      <c r="AD22" s="912" t="str">
        <f t="shared" si="24"/>
        <v>нет</v>
      </c>
      <c r="AE22" s="947"/>
      <c r="AF22" s="949"/>
      <c r="AG22" s="844" t="str">
        <f t="shared" si="9"/>
        <v>нет</v>
      </c>
      <c r="AH22" s="951"/>
      <c r="AI22" s="949"/>
      <c r="AJ22" s="844" t="str">
        <f t="shared" si="25"/>
        <v>нет</v>
      </c>
      <c r="AK22" s="935">
        <f>ПрофРабота!$Q22</f>
        <v>0</v>
      </c>
      <c r="AL22" s="485">
        <f>ПрофРабота!$R22</f>
        <v>0</v>
      </c>
      <c r="AM22" s="485">
        <f>ПрофРабота!$S22</f>
        <v>0</v>
      </c>
      <c r="AN22" s="817">
        <f>ПрофРабота!$C22</f>
        <v>0</v>
      </c>
      <c r="AO22" s="923">
        <f>МероприятияВуза!$AT22</f>
        <v>0</v>
      </c>
      <c r="AP22" s="919">
        <f>МероприятияВуза!$K22</f>
        <v>0</v>
      </c>
      <c r="AQ22" s="817" t="str">
        <f t="shared" si="26"/>
        <v>нет</v>
      </c>
      <c r="AR22" s="938">
        <f>'ДПО(Финансы)'!$R22</f>
        <v>208802</v>
      </c>
      <c r="AS22" s="939">
        <f>'ДПО(Финансы)'!$D22</f>
        <v>400000</v>
      </c>
      <c r="AT22" s="510" t="e">
        <f t="shared" si="27"/>
        <v>#DIV/0!</v>
      </c>
      <c r="AU22" s="1519">
        <f t="shared" si="28"/>
        <v>52.200500000000005</v>
      </c>
      <c r="AV22" s="938">
        <f>'ДПО(Финансы)'!$R22</f>
        <v>208802</v>
      </c>
      <c r="AW22" s="939">
        <f>'ИДО(Финансы)'!$R22</f>
        <v>0</v>
      </c>
      <c r="AX22" s="939">
        <f>'ДПО(Финансы)'!$S22</f>
        <v>1023467.72</v>
      </c>
      <c r="AY22" s="939">
        <f>'ИДО(Финансы)'!$S22</f>
        <v>40800</v>
      </c>
      <c r="AZ22" s="839" t="e">
        <f t="shared" si="0"/>
        <v>#DIV/0!</v>
      </c>
      <c r="BA22" s="1520">
        <f t="shared" ref="BA22:BA29" si="39">IF(($E22="да"),IF($AX22=0,"нет",$AV22/$AX22*100-100),"нет")</f>
        <v>-79.598574931117511</v>
      </c>
      <c r="BB22" s="1521">
        <f t="array" ref="BB22">IF(($E22="да"),IF($AX22=0,"нет",$AV22/$AX22*100),"нет")</f>
        <v>20.401425068882485</v>
      </c>
      <c r="BC22" s="1522">
        <f t="shared" si="1"/>
        <v>52.200500000000005</v>
      </c>
      <c r="BD22" s="1522" t="e">
        <f t="array" ref="BD22">IF(($E22="да"),IF($AZ22&gt;$AZ$17,$AZ22/$AZ$16*BD$16,нет),нет)</f>
        <v>#DIV/0!</v>
      </c>
      <c r="BE22" s="938">
        <f>'ИДО(Финансы)'!$R22</f>
        <v>0</v>
      </c>
      <c r="BF22" s="939">
        <f>'ИДО(Финансы)'!D22</f>
        <v>0</v>
      </c>
      <c r="BG22" s="510" t="str">
        <f t="shared" si="29"/>
        <v>нет</v>
      </c>
      <c r="BH22" s="1519" t="str">
        <f t="shared" si="30"/>
        <v>нет</v>
      </c>
      <c r="BI22" s="1523">
        <f t="array" ref="BI22">IF(($E22="да")+($F22="да"),IF((BF22+AS22)=0,"нет",(AR22+BE22)/(BF22+AS22)*100),"нет")</f>
        <v>52.200500000000005</v>
      </c>
      <c r="BJ22" s="829">
        <f>Кадры!$I22</f>
        <v>0</v>
      </c>
      <c r="BK22" s="940">
        <f>Кадры!$O22</f>
        <v>0</v>
      </c>
      <c r="BL22" s="941">
        <f>Кадры!$K22</f>
        <v>0</v>
      </c>
      <c r="BM22" s="821" t="str">
        <f t="array" ref="BM22">IF(BL22=0,"нет",BK22/BL22*100)</f>
        <v>нет</v>
      </c>
      <c r="BN22" s="923">
        <f>Кадры!E22</f>
        <v>0</v>
      </c>
      <c r="BO22" s="941">
        <f>Кадры!$K22</f>
        <v>0</v>
      </c>
      <c r="BP22" s="343" t="str">
        <f t="shared" si="31"/>
        <v>нет</v>
      </c>
      <c r="BQ22" s="342" t="e">
        <f t="shared" si="32"/>
        <v>#DIV/0!</v>
      </c>
      <c r="BR22" s="940">
        <f>Кадры!$L22</f>
        <v>0</v>
      </c>
      <c r="BS22" s="1544">
        <f>Кадры!$J22</f>
        <v>0</v>
      </c>
      <c r="BT22" s="343">
        <f t="shared" si="33"/>
        <v>0</v>
      </c>
      <c r="BU22" s="817">
        <f t="shared" si="34"/>
        <v>100</v>
      </c>
      <c r="BV22" s="923">
        <f>Кадры!$D22</f>
        <v>0</v>
      </c>
      <c r="BW22" s="919">
        <f>Кадры!$F22</f>
        <v>0</v>
      </c>
      <c r="BX22" s="817" t="e">
        <f t="shared" si="35"/>
        <v>#DIV/0!</v>
      </c>
      <c r="BY22" s="940">
        <f>Кадры!$P22</f>
        <v>0</v>
      </c>
      <c r="BZ22" s="941">
        <f>Кадры!$L22</f>
        <v>0</v>
      </c>
      <c r="CA22" s="342" t="str">
        <f t="shared" si="36"/>
        <v>нет</v>
      </c>
      <c r="CC22" s="986" t="s">
        <v>335</v>
      </c>
      <c r="CD22" s="268"/>
      <c r="CE22" s="313"/>
      <c r="CG22" s="335" t="e">
        <f t="array" ref="CG22">SUM(IF($F22:$CA22=нет,0,IF($F22:$CA22&gt;=$F$16:$CA$16,$F$16:$CA$16,IF($F22:$CA22&lt;$F$17:$CA$17,0,$F22:$CA22)))*$F$11:$CA$11*($F$104:$CA$104=CG$4)/$F$16:$CA$16*($F$106:$CA$115*($B$106:$B$115=$B22)*($A$106:$A$115=$A$104)))</f>
        <v>#DIV/0!</v>
      </c>
      <c r="CH22" s="335" t="e">
        <f t="array" ref="CH22">SUM(IF($F22:$CA22=нет,0,IF($F22:$CA22&gt;=$F$16:$CA$16,$F$16:$CA$16,IF($F22:$CA22&lt;$F$17:$CA$17,0,$F22:$CA22)))*$F$11:$CA$11*($F$104:$CA$104=CH$4)/$F$16:$CA$16*($F$106:$CA$115*($B$106:$B$115=$B22)*($A$106:$A$115=$A$104)))</f>
        <v>#DIV/0!</v>
      </c>
      <c r="CI22" s="335" t="e">
        <f t="array" ref="CI22">SUM(IF($F22:$CA22=нет,0,IF($F22:$CA22&gt;=$F$16:$CA$16,$F$16:$CA$16,IF($F22:$CA22&lt;$F$17:$CA$17,0,$F22:$CA22)))*$F$11:$CA$11*($F$105:$CA$105=CI$4)/$F$16:$CA$16*($F$106:$CA$115*($B$106:$B$115=$B22)*($A$106:$A$115=$A$104)))</f>
        <v>#DIV/0!</v>
      </c>
      <c r="CJ22" s="1072" t="e">
        <f>'НУ(ВИД3)'!D23</f>
        <v>#DIV/0!</v>
      </c>
      <c r="CK22" s="335" t="e">
        <f t="array" ref="CK22">SUM(IF($F22:$CA22=нет,0,IF($F22:$CA22&gt;=$F$16:$CA$16,$F$16:$CA$16,IF($F22:$CA22&lt;$F$17:$CA$17,0,$F22:$CA22)))*$F$11:$CA$11*($F$104:$CA$104=CK$4)/$F$16:$CA$16*($F$106:$CA$115*($B$106:$B$115=$B22)*($A$106:$A$115=$A$104)))</f>
        <v>#DIV/0!</v>
      </c>
      <c r="CL22" s="335" t="e">
        <f t="array" ref="CL22">SUM(IF($F22:$CA22=нет,0,IF($F22:$CA22&gt;=$F$16:$CA$16,$F$16:$CA$16,IF($F22:$CA22&lt;$F$17:$CA$17,0,$F22:$CA22)))*$F$11:$CA$11*($F$104:$CA$104=CL$4)/$F$16:$CA$16*($F$106:$CA$115*($B$106:$B$115=$B22)*($A$106:$A$115=$A$104)))</f>
        <v>#DIV/0!</v>
      </c>
      <c r="CM22" s="335" t="e">
        <f t="array" ref="CM22">SUM(IF($F22:$CA22=нет,0,IF($F22:$CA22&gt;=$F$16:$CA$16,$F$16:$CA$16,IF($F22:$CA22&lt;$F$17:$CA$17,0,$F22:$CA22)))*$F$11:$CA$11*($F$104:$CA$104=CM$4)/$F$16:$CA$16*($F$106:$CA$115*($B$106:$B$115=$B22)*($A$106:$A$115=$A$104)))</f>
        <v>#DIV/0!</v>
      </c>
      <c r="CO22" s="1000" t="e">
        <f t="array" ref="CO22">SUM(IF($F22:$CA22=нет,0,100)*$F$11:$CA$11*($F$104:$CA$104=CO$4)/100*($F$106:$CA$115*($B$106:$B$115=$B22)*($A$106:$A$115=$A$104)))</f>
        <v>#DIV/0!</v>
      </c>
      <c r="CP22" s="1000" t="e">
        <f t="array" ref="CP22">SUM(IF($F22:$CA22=нет,0,100)*$F$11:$CA$11*($F$104:$CA$104=CP$4)/100*($F$106:$CA$115*($B$106:$B$115=$B22)*($A$106:$A$115=$A$104)))</f>
        <v>#DIV/0!</v>
      </c>
      <c r="CQ22" s="1000" t="e">
        <f t="array" ref="CQ22">SUM(IF($F22:$CA22=нет,0,100)*$F$11:$CA$11*($F$105:$CA$105=CQ$4)/100*($F$106:$CA$115*($B$106:$B$115=$B22)*($A$106:$A$115=$A$104)))</f>
        <v>#DIV/0!</v>
      </c>
      <c r="CR22" s="1057">
        <f>'НУ(ВИД3)'!E23</f>
        <v>21</v>
      </c>
      <c r="CS22" s="1000" t="e">
        <f t="array" ref="CS22">SUM(IF($F22:$CA22=нет,0,100)*$F$11:$CA$11*($F$104:$CA$104=CS$4)/100*($F$106:$CA$115*($B$106:$B$115=$B22)*($A$106:$A$115=$A$104)))</f>
        <v>#DIV/0!</v>
      </c>
      <c r="CT22" s="1000" t="e">
        <f t="array" ref="CT22">SUM(IF($F22:$CA22=нет,0,100)*$F$11:$CA$11*($F$104:$CA$104=CT$4)/100*($F$106:$CA$115*($B$106:$B$115=$B22)*($A$106:$A$115=$A$104)))</f>
        <v>#DIV/0!</v>
      </c>
      <c r="CU22" s="1000" t="e">
        <f t="array" ref="CU22">SUM(IF($F22:$CA22=нет,0,100)*$F$11:$CA$11*($F$104:$CA$104=CU$4)/100*($F$106:$CA$115*($B$106:$B$115=$B22)*($A$106:$A$115=$A$104)))</f>
        <v>#DIV/0!</v>
      </c>
      <c r="CW22" s="333" t="e">
        <f>SUM(CG22:CH22,CJ22:CM22,'Реестр ППС'!#REF!,' "Вуз зож"'!S22)</f>
        <v>#REF!</v>
      </c>
      <c r="CX22" s="333" t="e">
        <f>SUM(CO22:CP22,CR22:CU22,'Реестр ППС'!#REF!,' "Вуз зож"'!T22)</f>
        <v>#REF!</v>
      </c>
      <c r="CY22" s="332" t="e">
        <f t="shared" si="10"/>
        <v>#REF!</v>
      </c>
      <c r="DA22" s="336" t="e">
        <f>SUM(CI22:CK22,CM22,'Реестр ППС'!#REF!,' "Вуз зож"'!S22)</f>
        <v>#REF!</v>
      </c>
      <c r="DB22" s="336" t="e">
        <f>SUM(CQ22:CS22,CU22,'Реестр ППС'!#REF!,' "Вуз зож"'!T22)</f>
        <v>#REF!</v>
      </c>
      <c r="DC22" s="332" t="e">
        <f t="shared" si="37"/>
        <v>#REF!</v>
      </c>
      <c r="DD22" s="313"/>
      <c r="DE22" s="337" t="e">
        <f t="shared" si="11"/>
        <v>#DIV/0!</v>
      </c>
      <c r="DF22" s="337" t="e">
        <f t="shared" si="12"/>
        <v>#DIV/0!</v>
      </c>
      <c r="DG22" s="337" t="e">
        <f t="shared" si="13"/>
        <v>#DIV/0!</v>
      </c>
      <c r="DH22" s="337" t="e">
        <f t="shared" si="14"/>
        <v>#DIV/0!</v>
      </c>
      <c r="DI22" s="337" t="e">
        <f t="shared" si="15"/>
        <v>#DIV/0!</v>
      </c>
      <c r="DJ22" s="337" t="e">
        <f t="shared" si="16"/>
        <v>#DIV/0!</v>
      </c>
      <c r="DK22" s="337" t="e">
        <f t="shared" si="17"/>
        <v>#DIV/0!</v>
      </c>
      <c r="DL22" s="334" t="str">
        <f t="shared" si="4"/>
        <v>Анестезиологии и реаниматологии с курсом ДПО</v>
      </c>
      <c r="DM22" s="215" t="str">
        <f t="shared" si="18"/>
        <v>КМЕДИЦИНЫ</v>
      </c>
      <c r="DN22" s="1505" t="e">
        <f t="shared" si="38"/>
        <v>#REF!</v>
      </c>
      <c r="DO22" s="338"/>
      <c r="DP22" s="338"/>
      <c r="DQ22" s="338"/>
      <c r="DR22" s="318"/>
      <c r="DS22" s="318"/>
      <c r="DT22" s="318"/>
      <c r="DU22" s="318"/>
      <c r="DV22" s="318"/>
      <c r="DW22" s="318"/>
      <c r="DX22" s="318"/>
    </row>
    <row r="23" spans="1:128" s="344" customFormat="1" ht="15.75" thickBot="1" x14ac:dyDescent="0.25">
      <c r="A23" s="550" t="s">
        <v>93</v>
      </c>
      <c r="B23" s="340" t="s">
        <v>7</v>
      </c>
      <c r="C23" s="482">
        <f>Кадры!C23</f>
        <v>0</v>
      </c>
      <c r="D23" s="2076" t="str">
        <f t="shared" si="19"/>
        <v>КМЕДИЦИНЫ</v>
      </c>
      <c r="E23" s="2074" t="s">
        <v>16</v>
      </c>
      <c r="F23" s="859" t="s">
        <v>31</v>
      </c>
      <c r="G23" s="904"/>
      <c r="H23" s="817">
        <f t="shared" si="5"/>
        <v>100</v>
      </c>
      <c r="I23" s="1748"/>
      <c r="J23" s="817">
        <f t="shared" si="6"/>
        <v>100</v>
      </c>
      <c r="K23" s="1573">
        <f>МероприятияВуза!$AR23+МероприятияВуза!$AQ23</f>
        <v>0</v>
      </c>
      <c r="L23" s="919">
        <f>МероприятияВуза!$G23+МероприятияВуза!$H23</f>
        <v>0</v>
      </c>
      <c r="M23" s="925" t="str">
        <f t="shared" si="20"/>
        <v>нет</v>
      </c>
      <c r="N23" s="923">
        <f>МероприятияВуза!$AS23</f>
        <v>0</v>
      </c>
      <c r="O23" s="919">
        <f>МероприятияВуза!$I23+МероприятияВуза!$J23</f>
        <v>0</v>
      </c>
      <c r="P23" s="925" t="str">
        <f t="shared" si="21"/>
        <v>нет</v>
      </c>
      <c r="Q23" s="1838"/>
      <c r="R23" s="817">
        <f t="shared" si="22"/>
        <v>100</v>
      </c>
      <c r="S23" s="1847"/>
      <c r="T23" s="1848"/>
      <c r="U23" s="844" t="str">
        <f t="shared" si="23"/>
        <v>нет</v>
      </c>
      <c r="V23" s="904"/>
      <c r="W23" s="909"/>
      <c r="X23" s="844" t="str">
        <f t="shared" si="7"/>
        <v>нет</v>
      </c>
      <c r="Y23" s="1857"/>
      <c r="Z23" s="1858"/>
      <c r="AA23" s="844" t="str">
        <f t="shared" si="8"/>
        <v>нет</v>
      </c>
      <c r="AB23" s="1748"/>
      <c r="AC23" s="909"/>
      <c r="AD23" s="912" t="str">
        <f t="shared" si="24"/>
        <v>нет</v>
      </c>
      <c r="AE23" s="947"/>
      <c r="AF23" s="949"/>
      <c r="AG23" s="844" t="str">
        <f t="shared" si="9"/>
        <v>нет</v>
      </c>
      <c r="AH23" s="951"/>
      <c r="AI23" s="949"/>
      <c r="AJ23" s="844" t="str">
        <f t="shared" si="25"/>
        <v>нет</v>
      </c>
      <c r="AK23" s="935">
        <f>ПрофРабота!$Q23</f>
        <v>0</v>
      </c>
      <c r="AL23" s="485">
        <f>ПрофРабота!$R23</f>
        <v>0</v>
      </c>
      <c r="AM23" s="485">
        <f>ПрофРабота!$S23</f>
        <v>0</v>
      </c>
      <c r="AN23" s="817">
        <f>ПрофРабота!$C23</f>
        <v>0</v>
      </c>
      <c r="AO23" s="923">
        <f>МероприятияВуза!$AT23</f>
        <v>0</v>
      </c>
      <c r="AP23" s="919">
        <f>МероприятияВуза!$K23</f>
        <v>0</v>
      </c>
      <c r="AQ23" s="817" t="str">
        <f t="shared" si="26"/>
        <v>нет</v>
      </c>
      <c r="AR23" s="938">
        <f>'ДПО(Финансы)'!$R23</f>
        <v>1613</v>
      </c>
      <c r="AS23" s="939">
        <f>'ДПО(Финансы)'!$D23</f>
        <v>100000</v>
      </c>
      <c r="AT23" s="510" t="e">
        <f t="shared" si="27"/>
        <v>#DIV/0!</v>
      </c>
      <c r="AU23" s="1519">
        <f t="shared" si="28"/>
        <v>1.6129999999999998</v>
      </c>
      <c r="AV23" s="938">
        <f>'ДПО(Финансы)'!$R23</f>
        <v>1613</v>
      </c>
      <c r="AW23" s="939">
        <f>'ИДО(Финансы)'!$R23</f>
        <v>0</v>
      </c>
      <c r="AX23" s="939">
        <f>'ДПО(Финансы)'!$S23</f>
        <v>0</v>
      </c>
      <c r="AY23" s="939">
        <f>'ИДО(Финансы)'!$S23</f>
        <v>0</v>
      </c>
      <c r="AZ23" s="839" t="e">
        <f t="shared" si="0"/>
        <v>#DIV/0!</v>
      </c>
      <c r="BA23" s="1520" t="str">
        <f t="shared" si="39"/>
        <v>нет</v>
      </c>
      <c r="BB23" s="1521" t="str">
        <f t="array" ref="BB23">IF(($E23="да"),IF($AX23=0,"нет",$AV23/$AX23*100),"нет")</f>
        <v>нет</v>
      </c>
      <c r="BC23" s="1522">
        <f t="shared" si="1"/>
        <v>1.6129999999999998</v>
      </c>
      <c r="BD23" s="1522" t="e">
        <f t="array" ref="BD23">IF(($E23="да"),IF($AZ23&gt;$AZ$17,$AZ23/$AZ$16*BD$16,нет),нет)</f>
        <v>#DIV/0!</v>
      </c>
      <c r="BE23" s="938">
        <f>'ИДО(Финансы)'!$R23</f>
        <v>0</v>
      </c>
      <c r="BF23" s="939">
        <f>'ИДО(Финансы)'!D23</f>
        <v>0</v>
      </c>
      <c r="BG23" s="510" t="str">
        <f t="shared" si="29"/>
        <v>нет</v>
      </c>
      <c r="BH23" s="1519" t="str">
        <f t="shared" si="30"/>
        <v>нет</v>
      </c>
      <c r="BI23" s="1523">
        <f t="array" ref="BI23">IF(($E23="да")+($F23="да"),IF((BF23+AS23)=0,"нет",(AR23+BE23)/(BF23+AS23)*100),"нет")</f>
        <v>1.6129999999999998</v>
      </c>
      <c r="BJ23" s="829">
        <f>Кадры!$I23</f>
        <v>0</v>
      </c>
      <c r="BK23" s="940">
        <f>Кадры!$O23</f>
        <v>0</v>
      </c>
      <c r="BL23" s="941">
        <f>Кадры!$K23</f>
        <v>0</v>
      </c>
      <c r="BM23" s="821" t="str">
        <f t="array" ref="BM23">IF(BL23=0,"нет",BK23/BL23*100)</f>
        <v>нет</v>
      </c>
      <c r="BN23" s="923">
        <f>Кадры!E23</f>
        <v>0</v>
      </c>
      <c r="BO23" s="941">
        <f>Кадры!$K23</f>
        <v>0</v>
      </c>
      <c r="BP23" s="343" t="str">
        <f t="shared" si="31"/>
        <v>нет</v>
      </c>
      <c r="BQ23" s="342" t="e">
        <f t="shared" si="32"/>
        <v>#DIV/0!</v>
      </c>
      <c r="BR23" s="940">
        <f>Кадры!$L23</f>
        <v>0</v>
      </c>
      <c r="BS23" s="1544">
        <f>Кадры!$J23</f>
        <v>0</v>
      </c>
      <c r="BT23" s="343">
        <f t="shared" si="33"/>
        <v>0</v>
      </c>
      <c r="BU23" s="817">
        <f t="shared" si="34"/>
        <v>100</v>
      </c>
      <c r="BV23" s="923">
        <f>Кадры!$D23</f>
        <v>0</v>
      </c>
      <c r="BW23" s="919">
        <f>Кадры!$F23</f>
        <v>0</v>
      </c>
      <c r="BX23" s="817" t="e">
        <f t="shared" si="35"/>
        <v>#DIV/0!</v>
      </c>
      <c r="BY23" s="940">
        <f>Кадры!$P23</f>
        <v>0</v>
      </c>
      <c r="BZ23" s="941">
        <f>Кадры!$L23</f>
        <v>0</v>
      </c>
      <c r="CA23" s="342" t="str">
        <f t="shared" si="36"/>
        <v>нет</v>
      </c>
      <c r="CB23" s="215"/>
      <c r="CC23" s="986" t="s">
        <v>335</v>
      </c>
      <c r="CD23" s="268"/>
      <c r="CE23" s="961"/>
      <c r="CF23" s="215"/>
      <c r="CG23" s="335" t="e">
        <f t="array" ref="CG23">SUM(IF($F23:$CA23=нет,0,IF($F23:$CA23&gt;=$F$16:$CA$16,$F$16:$CA$16,IF($F23:$CA23&lt;$F$17:$CA$17,0,$F23:$CA23)))*$F$11:$CA$11*($F$104:$CA$104=CG$4)/$F$16:$CA$16*($F$106:$CA$115*($B$106:$B$115=$B23)*($A$106:$A$115=$A$104)))</f>
        <v>#DIV/0!</v>
      </c>
      <c r="CH23" s="335" t="e">
        <f t="array" ref="CH23">SUM(IF($F23:$CA23=нет,0,IF($F23:$CA23&gt;=$F$16:$CA$16,$F$16:$CA$16,IF($F23:$CA23&lt;$F$17:$CA$17,0,$F23:$CA23)))*$F$11:$CA$11*($F$104:$CA$104=CH$4)/$F$16:$CA$16*($F$106:$CA$115*($B$106:$B$115=$B23)*($A$106:$A$115=$A$104)))</f>
        <v>#DIV/0!</v>
      </c>
      <c r="CI23" s="335" t="e">
        <f t="array" ref="CI23">SUM(IF($F23:$CA23=нет,0,IF($F23:$CA23&gt;=$F$16:$CA$16,$F$16:$CA$16,IF($F23:$CA23&lt;$F$17:$CA$17,0,$F23:$CA23)))*$F$11:$CA$11*($F$105:$CA$105=CI$4)/$F$16:$CA$16*($F$106:$CA$115*($B$106:$B$115=$B23)*($A$106:$A$115=$A$104)))</f>
        <v>#DIV/0!</v>
      </c>
      <c r="CJ23" s="1072" t="e">
        <f>'НУ(ВИД3)'!D24</f>
        <v>#DIV/0!</v>
      </c>
      <c r="CK23" s="335" t="e">
        <f t="array" ref="CK23">SUM(IF($F23:$CA23=нет,0,IF($F23:$CA23&gt;=$F$16:$CA$16,$F$16:$CA$16,IF($F23:$CA23&lt;$F$17:$CA$17,0,$F23:$CA23)))*$F$11:$CA$11*($F$104:$CA$104=CK$4)/$F$16:$CA$16*($F$106:$CA$115*($B$106:$B$115=$B23)*($A$106:$A$115=$A$104)))</f>
        <v>#DIV/0!</v>
      </c>
      <c r="CL23" s="335" t="e">
        <f t="array" ref="CL23">SUM(IF($F23:$CA23=нет,0,IF($F23:$CA23&gt;=$F$16:$CA$16,$F$16:$CA$16,IF($F23:$CA23&lt;$F$17:$CA$17,0,$F23:$CA23)))*$F$11:$CA$11*($F$104:$CA$104=CL$4)/$F$16:$CA$16*($F$106:$CA$115*($B$106:$B$115=$B23)*($A$106:$A$115=$A$104)))</f>
        <v>#DIV/0!</v>
      </c>
      <c r="CM23" s="335" t="e">
        <f t="array" ref="CM23">SUM(IF($F23:$CA23=нет,0,IF($F23:$CA23&gt;=$F$16:$CA$16,$F$16:$CA$16,IF($F23:$CA23&lt;$F$17:$CA$17,0,$F23:$CA23)))*$F$11:$CA$11*($F$104:$CA$104=CM$4)/$F$16:$CA$16*($F$106:$CA$115*($B$106:$B$115=$B23)*($A$106:$A$115=$A$104)))</f>
        <v>#DIV/0!</v>
      </c>
      <c r="CN23" s="215"/>
      <c r="CO23" s="1000" t="e">
        <f t="array" ref="CO23">SUM(IF($F23:$CA23=нет,0,100)*$F$11:$CA$11*($F$104:$CA$104=CO$4)/100*($F$106:$CA$115*($B$106:$B$115=$B23)*($A$106:$A$115=$A$104)))</f>
        <v>#DIV/0!</v>
      </c>
      <c r="CP23" s="1000" t="e">
        <f t="array" ref="CP23">SUM(IF($F23:$CA23=нет,0,100)*$F$11:$CA$11*($F$104:$CA$104=CP$4)/100*($F$106:$CA$115*($B$106:$B$115=$B23)*($A$106:$A$115=$A$104)))</f>
        <v>#DIV/0!</v>
      </c>
      <c r="CQ23" s="1000" t="e">
        <f t="array" ref="CQ23">SUM(IF($F23:$CA23=нет,0,100)*$F$11:$CA$11*($F$105:$CA$105=CQ$4)/100*($F$106:$CA$115*($B$106:$B$115=$B23)*($A$106:$A$115=$A$104)))</f>
        <v>#DIV/0!</v>
      </c>
      <c r="CR23" s="1057">
        <f>'НУ(ВИД3)'!E24</f>
        <v>21</v>
      </c>
      <c r="CS23" s="1000" t="e">
        <f t="array" ref="CS23">SUM(IF($F23:$CA23=нет,0,100)*$F$11:$CA$11*($F$104:$CA$104=CS$4)/100*($F$106:$CA$115*($B$106:$B$115=$B23)*($A$106:$A$115=$A$104)))</f>
        <v>#DIV/0!</v>
      </c>
      <c r="CT23" s="1000" t="e">
        <f t="array" ref="CT23">SUM(IF($F23:$CA23=нет,0,100)*$F$11:$CA$11*($F$104:$CA$104=CT$4)/100*($F$106:$CA$115*($B$106:$B$115=$B23)*($A$106:$A$115=$A$104)))</f>
        <v>#DIV/0!</v>
      </c>
      <c r="CU23" s="1000" t="e">
        <f t="array" ref="CU23">SUM(IF($F23:$CA23=нет,0,100)*$F$11:$CA$11*($F$104:$CA$104=CU$4)/100*($F$106:$CA$115*($B$106:$B$115=$B23)*($A$106:$A$115=$A$104)))</f>
        <v>#DIV/0!</v>
      </c>
      <c r="CV23" s="215"/>
      <c r="CW23" s="333" t="e">
        <f>SUM(CG23:CH23,CJ23:CM23,'Реестр ППС'!#REF!,' "Вуз зож"'!S23)</f>
        <v>#REF!</v>
      </c>
      <c r="CX23" s="333" t="e">
        <f>SUM(CO23:CP23,CR23:CU23,'Реестр ППС'!#REF!,' "Вуз зож"'!T23)</f>
        <v>#REF!</v>
      </c>
      <c r="CY23" s="332" t="e">
        <f t="shared" si="10"/>
        <v>#REF!</v>
      </c>
      <c r="CZ23" s="215"/>
      <c r="DA23" s="336" t="e">
        <f>SUM(CI23:CK23,CM23,'Реестр ППС'!#REF!,' "Вуз зож"'!S23)</f>
        <v>#REF!</v>
      </c>
      <c r="DB23" s="336" t="e">
        <f>SUM(CQ23:CS23,CU23,'Реестр ППС'!#REF!,' "Вуз зож"'!T23)</f>
        <v>#REF!</v>
      </c>
      <c r="DC23" s="332" t="e">
        <f t="shared" si="37"/>
        <v>#REF!</v>
      </c>
      <c r="DD23" s="961"/>
      <c r="DE23" s="337" t="e">
        <f t="shared" si="11"/>
        <v>#DIV/0!</v>
      </c>
      <c r="DF23" s="337" t="e">
        <f t="shared" si="12"/>
        <v>#DIV/0!</v>
      </c>
      <c r="DG23" s="337" t="e">
        <f t="shared" si="13"/>
        <v>#DIV/0!</v>
      </c>
      <c r="DH23" s="337" t="e">
        <f t="shared" si="14"/>
        <v>#DIV/0!</v>
      </c>
      <c r="DI23" s="337" t="e">
        <f t="shared" si="15"/>
        <v>#DIV/0!</v>
      </c>
      <c r="DJ23" s="337" t="e">
        <f t="shared" si="16"/>
        <v>#DIV/0!</v>
      </c>
      <c r="DK23" s="337" t="e">
        <f t="shared" si="17"/>
        <v>#DIV/0!</v>
      </c>
      <c r="DL23" s="334" t="str">
        <f t="shared" si="4"/>
        <v>Госпитальной терапии и эндокринологии</v>
      </c>
      <c r="DM23" s="215" t="str">
        <f t="shared" si="18"/>
        <v>КМЕДИЦИНЫ</v>
      </c>
      <c r="DN23" s="1505" t="e">
        <f t="shared" si="38"/>
        <v>#REF!</v>
      </c>
      <c r="DO23" s="338"/>
      <c r="DP23" s="338"/>
      <c r="DQ23" s="338"/>
      <c r="DR23" s="318"/>
      <c r="DS23" s="318"/>
      <c r="DT23" s="318"/>
      <c r="DU23" s="318"/>
      <c r="DV23" s="318"/>
      <c r="DW23" s="318"/>
      <c r="DX23" s="318"/>
    </row>
    <row r="24" spans="1:128" s="556" customFormat="1" ht="15.75" thickBot="1" x14ac:dyDescent="0.25">
      <c r="A24" s="550" t="s">
        <v>373</v>
      </c>
      <c r="B24" s="340" t="s">
        <v>7</v>
      </c>
      <c r="C24" s="482">
        <f>Кадры!C24</f>
        <v>0</v>
      </c>
      <c r="D24" s="2076" t="str">
        <f t="shared" si="19"/>
        <v>КМЕДИЦИНЫ</v>
      </c>
      <c r="E24" s="2074" t="s">
        <v>16</v>
      </c>
      <c r="F24" s="859" t="s">
        <v>31</v>
      </c>
      <c r="G24" s="904"/>
      <c r="H24" s="817">
        <f t="shared" si="5"/>
        <v>100</v>
      </c>
      <c r="I24" s="1748"/>
      <c r="J24" s="817">
        <f t="shared" si="6"/>
        <v>100</v>
      </c>
      <c r="K24" s="1573">
        <f>МероприятияВуза!$AR24+МероприятияВуза!$AQ24</f>
        <v>0</v>
      </c>
      <c r="L24" s="919">
        <f>МероприятияВуза!$G24+МероприятияВуза!$H24</f>
        <v>0</v>
      </c>
      <c r="M24" s="925" t="str">
        <f t="shared" si="20"/>
        <v>нет</v>
      </c>
      <c r="N24" s="923">
        <f>МероприятияВуза!$AS24</f>
        <v>0</v>
      </c>
      <c r="O24" s="919">
        <f>МероприятияВуза!$I24+МероприятияВуза!$J24</f>
        <v>0</v>
      </c>
      <c r="P24" s="925" t="str">
        <f t="shared" si="21"/>
        <v>нет</v>
      </c>
      <c r="Q24" s="1838"/>
      <c r="R24" s="817">
        <f t="shared" si="22"/>
        <v>100</v>
      </c>
      <c r="S24" s="1847"/>
      <c r="T24" s="1848"/>
      <c r="U24" s="844" t="str">
        <f t="shared" si="23"/>
        <v>нет</v>
      </c>
      <c r="V24" s="904"/>
      <c r="W24" s="909"/>
      <c r="X24" s="844" t="str">
        <f t="shared" si="7"/>
        <v>нет</v>
      </c>
      <c r="Y24" s="1857"/>
      <c r="Z24" s="1858"/>
      <c r="AA24" s="844" t="str">
        <f t="shared" si="8"/>
        <v>нет</v>
      </c>
      <c r="AB24" s="1748"/>
      <c r="AC24" s="909"/>
      <c r="AD24" s="912" t="str">
        <f t="shared" si="24"/>
        <v>нет</v>
      </c>
      <c r="AE24" s="947"/>
      <c r="AF24" s="949"/>
      <c r="AG24" s="844" t="str">
        <f t="shared" si="9"/>
        <v>нет</v>
      </c>
      <c r="AH24" s="951"/>
      <c r="AI24" s="949"/>
      <c r="AJ24" s="844" t="str">
        <f t="shared" si="25"/>
        <v>нет</v>
      </c>
      <c r="AK24" s="935">
        <f>ПрофРабота!$Q24</f>
        <v>0</v>
      </c>
      <c r="AL24" s="485">
        <f>ПрофРабота!$R24</f>
        <v>0</v>
      </c>
      <c r="AM24" s="485">
        <f>ПрофРабота!$S24</f>
        <v>0</v>
      </c>
      <c r="AN24" s="817">
        <f>ПрофРабота!$C24</f>
        <v>0</v>
      </c>
      <c r="AO24" s="923">
        <f>МероприятияВуза!$AT24</f>
        <v>0</v>
      </c>
      <c r="AP24" s="919">
        <f>МероприятияВуза!$K24</f>
        <v>0</v>
      </c>
      <c r="AQ24" s="817" t="str">
        <f t="shared" si="26"/>
        <v>нет</v>
      </c>
      <c r="AR24" s="938">
        <f>'ДПО(Финансы)'!$R24</f>
        <v>243000</v>
      </c>
      <c r="AS24" s="939">
        <f>'ДПО(Финансы)'!$D24</f>
        <v>20000</v>
      </c>
      <c r="AT24" s="510" t="e">
        <f t="shared" si="27"/>
        <v>#DIV/0!</v>
      </c>
      <c r="AU24" s="1519">
        <f t="shared" si="28"/>
        <v>1215</v>
      </c>
      <c r="AV24" s="938">
        <f>'ДПО(Финансы)'!$R24</f>
        <v>243000</v>
      </c>
      <c r="AW24" s="939">
        <f>'ИДО(Финансы)'!$R24</f>
        <v>0</v>
      </c>
      <c r="AX24" s="939">
        <f>'ДПО(Финансы)'!$S24</f>
        <v>0</v>
      </c>
      <c r="AY24" s="939">
        <f>'ИДО(Финансы)'!$S24</f>
        <v>0</v>
      </c>
      <c r="AZ24" s="839" t="e">
        <f t="shared" si="0"/>
        <v>#DIV/0!</v>
      </c>
      <c r="BA24" s="1520" t="str">
        <f t="shared" si="39"/>
        <v>нет</v>
      </c>
      <c r="BB24" s="1521" t="str">
        <f t="array" ref="BB24">IF(($E24="да"),IF($AX24=0,"нет",$AV24/$AX24*100),"нет")</f>
        <v>нет</v>
      </c>
      <c r="BC24" s="1522">
        <f t="shared" si="1"/>
        <v>1215</v>
      </c>
      <c r="BD24" s="1522" t="e">
        <f t="array" ref="BD24">IF(($E24="да"),IF($AZ24&gt;$AZ$17,$AZ24/$AZ$16*BD$16,нет),нет)</f>
        <v>#DIV/0!</v>
      </c>
      <c r="BE24" s="938">
        <f>'ИДО(Финансы)'!$R24</f>
        <v>0</v>
      </c>
      <c r="BF24" s="939">
        <f>'ИДО(Финансы)'!D24</f>
        <v>0</v>
      </c>
      <c r="BG24" s="510" t="str">
        <f t="shared" ref="BG24:BG29" si="40">IF(($F24="да"),IF(BE24=0,0,BE24/$C24),"нет")</f>
        <v>нет</v>
      </c>
      <c r="BH24" s="1519" t="str">
        <f t="shared" ref="BH24:BH29" si="41">IF(($F24="да"),IF(BF24=0,"нет",BE24/BF24*100),"нет")</f>
        <v>нет</v>
      </c>
      <c r="BI24" s="1523">
        <f t="array" ref="BI24">IF(($E24="да")+($F24="да"),IF((BF24+AS24)=0,"нет",(AR24+BE24)/(BF24+AS24)*100),"нет")</f>
        <v>1215</v>
      </c>
      <c r="BJ24" s="829">
        <f>Кадры!$I24</f>
        <v>0</v>
      </c>
      <c r="BK24" s="940">
        <f>Кадры!$O24</f>
        <v>0</v>
      </c>
      <c r="BL24" s="941">
        <f>Кадры!$K24</f>
        <v>0</v>
      </c>
      <c r="BM24" s="821" t="str">
        <f t="array" ref="BM24">IF(BL24=0,"нет",BK24/BL24*100)</f>
        <v>нет</v>
      </c>
      <c r="BN24" s="923">
        <f>Кадры!E24</f>
        <v>0</v>
      </c>
      <c r="BO24" s="941">
        <f>Кадры!$K24</f>
        <v>0</v>
      </c>
      <c r="BP24" s="343" t="str">
        <f t="shared" si="31"/>
        <v>нет</v>
      </c>
      <c r="BQ24" s="342" t="e">
        <f t="shared" si="32"/>
        <v>#DIV/0!</v>
      </c>
      <c r="BR24" s="940">
        <f>Кадры!$L24</f>
        <v>0</v>
      </c>
      <c r="BS24" s="1544">
        <f>Кадры!$J24</f>
        <v>0</v>
      </c>
      <c r="BT24" s="343">
        <f t="shared" si="33"/>
        <v>0</v>
      </c>
      <c r="BU24" s="817">
        <f t="shared" si="34"/>
        <v>100</v>
      </c>
      <c r="BV24" s="923">
        <f>Кадры!$D24</f>
        <v>0</v>
      </c>
      <c r="BW24" s="919">
        <f>Кадры!$F24</f>
        <v>0</v>
      </c>
      <c r="BX24" s="817" t="e">
        <f t="shared" si="35"/>
        <v>#DIV/0!</v>
      </c>
      <c r="BY24" s="940">
        <f>Кадры!$P24</f>
        <v>0</v>
      </c>
      <c r="BZ24" s="941">
        <f>Кадры!$L24</f>
        <v>0</v>
      </c>
      <c r="CA24" s="342" t="str">
        <f t="shared" ref="CA24:CA28" si="42">IF(BZ24=0,"нет",BY24/BZ24*100)</f>
        <v>нет</v>
      </c>
      <c r="CB24" s="215"/>
      <c r="CC24" s="986" t="s">
        <v>335</v>
      </c>
      <c r="CD24" s="268"/>
      <c r="CE24" s="961"/>
      <c r="CF24" s="215"/>
      <c r="CG24" s="335" t="e">
        <f t="array" ref="CG24">SUM(IF($F24:$CA24=нет,0,IF($F24:$CA24&gt;=$F$16:$CA$16,$F$16:$CA$16,IF($F24:$CA24&lt;$F$17:$CA$17,0,$F24:$CA24)))*$F$11:$CA$11*($F$104:$CA$104=CG$4)/$F$16:$CA$16*($F$106:$CA$115*($B$106:$B$115=$B24)*($A$106:$A$115=$A$104)))</f>
        <v>#DIV/0!</v>
      </c>
      <c r="CH24" s="335" t="e">
        <f t="array" ref="CH24">SUM(IF($F24:$CA24=нет,0,IF($F24:$CA24&gt;=$F$16:$CA$16,$F$16:$CA$16,IF($F24:$CA24&lt;$F$17:$CA$17,0,$F24:$CA24)))*$F$11:$CA$11*($F$104:$CA$104=CH$4)/$F$16:$CA$16*($F$106:$CA$115*($B$106:$B$115=$B24)*($A$106:$A$115=$A$104)))</f>
        <v>#DIV/0!</v>
      </c>
      <c r="CI24" s="335" t="e">
        <f t="array" ref="CI24">SUM(IF($F24:$CA24=нет,0,IF($F24:$CA24&gt;=$F$16:$CA$16,$F$16:$CA$16,IF($F24:$CA24&lt;$F$17:$CA$17,0,$F24:$CA24)))*$F$11:$CA$11*($F$105:$CA$105=CI$4)/$F$16:$CA$16*($F$106:$CA$115*($B$106:$B$115=$B24)*($A$106:$A$115=$A$104)))</f>
        <v>#DIV/0!</v>
      </c>
      <c r="CJ24" s="1072" t="e">
        <f>'НУ(ВИД3)'!D25</f>
        <v>#DIV/0!</v>
      </c>
      <c r="CK24" s="335" t="e">
        <f t="array" ref="CK24">SUM(IF($F24:$CA24=нет,0,IF($F24:$CA24&gt;=$F$16:$CA$16,$F$16:$CA$16,IF($F24:$CA24&lt;$F$17:$CA$17,0,$F24:$CA24)))*$F$11:$CA$11*($F$104:$CA$104=CK$4)/$F$16:$CA$16*($F$106:$CA$115*($B$106:$B$115=$B24)*($A$106:$A$115=$A$104)))</f>
        <v>#DIV/0!</v>
      </c>
      <c r="CL24" s="335" t="e">
        <f t="array" ref="CL24">SUM(IF($F24:$CA24=нет,0,IF($F24:$CA24&gt;=$F$16:$CA$16,$F$16:$CA$16,IF($F24:$CA24&lt;$F$17:$CA$17,0,$F24:$CA24)))*$F$11:$CA$11*($F$104:$CA$104=CL$4)/$F$16:$CA$16*($F$106:$CA$115*($B$106:$B$115=$B24)*($A$106:$A$115=$A$104)))</f>
        <v>#DIV/0!</v>
      </c>
      <c r="CM24" s="335" t="e">
        <f t="array" ref="CM24">SUM(IF($F24:$CA24=нет,0,IF($F24:$CA24&gt;=$F$16:$CA$16,$F$16:$CA$16,IF($F24:$CA24&lt;$F$17:$CA$17,0,$F24:$CA24)))*$F$11:$CA$11*($F$104:$CA$104=CM$4)/$F$16:$CA$16*($F$106:$CA$115*($B$106:$B$115=$B24)*($A$106:$A$115=$A$104)))</f>
        <v>#DIV/0!</v>
      </c>
      <c r="CN24" s="215"/>
      <c r="CO24" s="1000" t="e">
        <f t="array" ref="CO24">SUM(IF($F24:$CA24=нет,0,100)*$F$11:$CA$11*($F$104:$CA$104=CO$4)/100*($F$106:$CA$115*($B$106:$B$115=$B24)*($A$106:$A$115=$A$104)))</f>
        <v>#DIV/0!</v>
      </c>
      <c r="CP24" s="1000" t="e">
        <f t="array" ref="CP24">SUM(IF($F24:$CA24=нет,0,100)*$F$11:$CA$11*($F$104:$CA$104=CP$4)/100*($F$106:$CA$115*($B$106:$B$115=$B24)*($A$106:$A$115=$A$104)))</f>
        <v>#DIV/0!</v>
      </c>
      <c r="CQ24" s="1000" t="e">
        <f t="array" ref="CQ24">SUM(IF($F24:$CA24=нет,0,100)*$F$11:$CA$11*($F$105:$CA$105=CQ$4)/100*($F$106:$CA$115*($B$106:$B$115=$B24)*($A$106:$A$115=$A$104)))</f>
        <v>#DIV/0!</v>
      </c>
      <c r="CR24" s="1057">
        <f>'НУ(ВИД3)'!E25</f>
        <v>21</v>
      </c>
      <c r="CS24" s="1000" t="e">
        <f t="array" ref="CS24">SUM(IF($F24:$CA24=нет,0,100)*$F$11:$CA$11*($F$104:$CA$104=CS$4)/100*($F$106:$CA$115*($B$106:$B$115=$B24)*($A$106:$A$115=$A$104)))</f>
        <v>#DIV/0!</v>
      </c>
      <c r="CT24" s="1000" t="e">
        <f t="array" ref="CT24">SUM(IF($F24:$CA24=нет,0,100)*$F$11:$CA$11*($F$104:$CA$104=CT$4)/100*($F$106:$CA$115*($B$106:$B$115=$B24)*($A$106:$A$115=$A$104)))</f>
        <v>#DIV/0!</v>
      </c>
      <c r="CU24" s="1000" t="e">
        <f t="array" ref="CU24">SUM(IF($F24:$CA24=нет,0,100)*$F$11:$CA$11*($F$104:$CA$104=CU$4)/100*($F$106:$CA$115*($B$106:$B$115=$B24)*($A$106:$A$115=$A$104)))</f>
        <v>#DIV/0!</v>
      </c>
      <c r="CV24" s="215"/>
      <c r="CW24" s="333" t="e">
        <f>SUM(CG24:CH24,CJ24:CM24,'Реестр ППС'!#REF!,' "Вуз зож"'!S24)</f>
        <v>#REF!</v>
      </c>
      <c r="CX24" s="333" t="e">
        <f>SUM(CO24:CP24,CR24:CU24,'Реестр ППС'!#REF!,' "Вуз зож"'!T24)</f>
        <v>#REF!</v>
      </c>
      <c r="CY24" s="332" t="e">
        <f t="shared" si="10"/>
        <v>#REF!</v>
      </c>
      <c r="CZ24" s="215"/>
      <c r="DA24" s="336" t="e">
        <f>SUM(CI24:CK24,CM24,'Реестр ППС'!#REF!,' "Вуз зож"'!S24)</f>
        <v>#REF!</v>
      </c>
      <c r="DB24" s="336" t="e">
        <f>SUM(CQ24:CS24,CU24,'Реестр ППС'!#REF!,' "Вуз зож"'!T24)</f>
        <v>#REF!</v>
      </c>
      <c r="DC24" s="332" t="e">
        <f t="shared" si="37"/>
        <v>#REF!</v>
      </c>
      <c r="DD24" s="961"/>
      <c r="DE24" s="337" t="e">
        <f t="shared" si="11"/>
        <v>#DIV/0!</v>
      </c>
      <c r="DF24" s="337" t="e">
        <f t="shared" si="12"/>
        <v>#DIV/0!</v>
      </c>
      <c r="DG24" s="337" t="e">
        <f t="shared" si="13"/>
        <v>#DIV/0!</v>
      </c>
      <c r="DH24" s="337" t="e">
        <f t="shared" si="14"/>
        <v>#DIV/0!</v>
      </c>
      <c r="DI24" s="337" t="e">
        <f t="shared" si="15"/>
        <v>#DIV/0!</v>
      </c>
      <c r="DJ24" s="337" t="e">
        <f t="shared" si="16"/>
        <v>#DIV/0!</v>
      </c>
      <c r="DK24" s="337" t="e">
        <f t="shared" si="17"/>
        <v>#DIV/0!</v>
      </c>
      <c r="DL24" s="334" t="str">
        <f t="shared" si="4"/>
        <v>Госпитальной хирургии</v>
      </c>
      <c r="DM24" s="215" t="str">
        <f t="shared" si="18"/>
        <v>КМЕДИЦИНЫ</v>
      </c>
      <c r="DN24" s="1505" t="e">
        <f t="shared" si="38"/>
        <v>#REF!</v>
      </c>
      <c r="DO24" s="338"/>
      <c r="DP24" s="338"/>
      <c r="DQ24" s="338"/>
      <c r="DR24" s="318"/>
      <c r="DS24" s="318"/>
      <c r="DT24" s="318"/>
      <c r="DU24" s="318"/>
      <c r="DV24" s="318"/>
      <c r="DW24" s="318"/>
      <c r="DX24" s="318"/>
    </row>
    <row r="25" spans="1:128" s="215" customFormat="1" ht="15.75" thickBot="1" x14ac:dyDescent="0.25">
      <c r="A25" s="550" t="s">
        <v>330</v>
      </c>
      <c r="B25" s="340" t="s">
        <v>7</v>
      </c>
      <c r="C25" s="482">
        <f>Кадры!C25</f>
        <v>0</v>
      </c>
      <c r="D25" s="2076" t="str">
        <f t="shared" si="19"/>
        <v>КМЕДИЦИНЫ</v>
      </c>
      <c r="E25" s="2074" t="s">
        <v>16</v>
      </c>
      <c r="F25" s="859" t="s">
        <v>31</v>
      </c>
      <c r="G25" s="904"/>
      <c r="H25" s="817">
        <f t="shared" si="5"/>
        <v>100</v>
      </c>
      <c r="I25" s="1748"/>
      <c r="J25" s="817">
        <f t="shared" si="6"/>
        <v>100</v>
      </c>
      <c r="K25" s="1573">
        <f>МероприятияВуза!$AR25+МероприятияВуза!$AQ25</f>
        <v>0</v>
      </c>
      <c r="L25" s="919">
        <f>МероприятияВуза!$G25+МероприятияВуза!$H25</f>
        <v>0</v>
      </c>
      <c r="M25" s="925" t="str">
        <f t="shared" si="20"/>
        <v>нет</v>
      </c>
      <c r="N25" s="923">
        <f>МероприятияВуза!$AS25</f>
        <v>0</v>
      </c>
      <c r="O25" s="919">
        <f>МероприятияВуза!$I25+МероприятияВуза!$J25</f>
        <v>0</v>
      </c>
      <c r="P25" s="925" t="str">
        <f t="shared" si="21"/>
        <v>нет</v>
      </c>
      <c r="Q25" s="1838"/>
      <c r="R25" s="817">
        <f t="shared" si="22"/>
        <v>100</v>
      </c>
      <c r="S25" s="1847"/>
      <c r="T25" s="1848"/>
      <c r="U25" s="844" t="str">
        <f t="shared" si="23"/>
        <v>нет</v>
      </c>
      <c r="V25" s="904"/>
      <c r="W25" s="909"/>
      <c r="X25" s="844" t="str">
        <f t="shared" si="7"/>
        <v>нет</v>
      </c>
      <c r="Y25" s="1857"/>
      <c r="Z25" s="1858"/>
      <c r="AA25" s="844" t="str">
        <f t="shared" si="8"/>
        <v>нет</v>
      </c>
      <c r="AB25" s="1748"/>
      <c r="AC25" s="909"/>
      <c r="AD25" s="912" t="str">
        <f t="shared" si="24"/>
        <v>нет</v>
      </c>
      <c r="AE25" s="947"/>
      <c r="AF25" s="949"/>
      <c r="AG25" s="844" t="str">
        <f t="shared" si="9"/>
        <v>нет</v>
      </c>
      <c r="AH25" s="951"/>
      <c r="AI25" s="949"/>
      <c r="AJ25" s="844" t="str">
        <f t="shared" si="25"/>
        <v>нет</v>
      </c>
      <c r="AK25" s="935">
        <f>ПрофРабота!$Q25</f>
        <v>0</v>
      </c>
      <c r="AL25" s="485">
        <f>ПрофРабота!$R25</f>
        <v>0</v>
      </c>
      <c r="AM25" s="485">
        <f>ПрофРабота!$S25</f>
        <v>0</v>
      </c>
      <c r="AN25" s="817">
        <f>ПрофРабота!$C25</f>
        <v>0</v>
      </c>
      <c r="AO25" s="923">
        <f>МероприятияВуза!$AT25</f>
        <v>0</v>
      </c>
      <c r="AP25" s="919">
        <f>МероприятияВуза!$K25</f>
        <v>0</v>
      </c>
      <c r="AQ25" s="817" t="str">
        <f t="shared" si="26"/>
        <v>нет</v>
      </c>
      <c r="AR25" s="938">
        <f>'ДПО(Финансы)'!$R25</f>
        <v>95420</v>
      </c>
      <c r="AS25" s="939">
        <f>'ДПО(Финансы)'!$D25</f>
        <v>100000</v>
      </c>
      <c r="AT25" s="510" t="e">
        <f t="shared" si="27"/>
        <v>#DIV/0!</v>
      </c>
      <c r="AU25" s="1519">
        <f t="shared" si="28"/>
        <v>95.42</v>
      </c>
      <c r="AV25" s="938">
        <f>'ДПО(Финансы)'!$R25</f>
        <v>95420</v>
      </c>
      <c r="AW25" s="939">
        <f>'ИДО(Финансы)'!$R25</f>
        <v>0</v>
      </c>
      <c r="AX25" s="939">
        <f>'ДПО(Финансы)'!$S25</f>
        <v>33600</v>
      </c>
      <c r="AY25" s="939">
        <f>'ИДО(Финансы)'!$S25</f>
        <v>0</v>
      </c>
      <c r="AZ25" s="839" t="e">
        <f t="shared" si="0"/>
        <v>#DIV/0!</v>
      </c>
      <c r="BA25" s="1520">
        <f t="shared" si="39"/>
        <v>183.98809523809524</v>
      </c>
      <c r="BB25" s="1521">
        <f t="array" ref="BB25">IF(($E25="да"),IF($AX25=0,"нет",$AV25/$AX25*100),"нет")</f>
        <v>283.98809523809524</v>
      </c>
      <c r="BC25" s="1522">
        <f t="shared" si="1"/>
        <v>95.42</v>
      </c>
      <c r="BD25" s="1522" t="e">
        <f t="array" ref="BD25">IF(($E25="да"),IF($AZ25&gt;$AZ$17,$AZ25/$AZ$16*BD$16,нет),нет)</f>
        <v>#DIV/0!</v>
      </c>
      <c r="BE25" s="938">
        <f>'ИДО(Финансы)'!$R25</f>
        <v>0</v>
      </c>
      <c r="BF25" s="939">
        <f>'ИДО(Финансы)'!D25</f>
        <v>0</v>
      </c>
      <c r="BG25" s="510" t="str">
        <f t="shared" si="40"/>
        <v>нет</v>
      </c>
      <c r="BH25" s="1519" t="str">
        <f t="shared" si="41"/>
        <v>нет</v>
      </c>
      <c r="BI25" s="1523">
        <f t="array" ref="BI25">IF(($E25="да")+($F25="да"),IF((BF25+AS25)=0,"нет",(AR25+BE25)/(BF25+AS25)*100),"нет")</f>
        <v>95.42</v>
      </c>
      <c r="BJ25" s="829">
        <f>Кадры!$I25</f>
        <v>0</v>
      </c>
      <c r="BK25" s="940">
        <f>Кадры!$O25</f>
        <v>0</v>
      </c>
      <c r="BL25" s="941">
        <f>Кадры!$K25</f>
        <v>0</v>
      </c>
      <c r="BM25" s="821" t="str">
        <f t="array" ref="BM25">IF(BL25=0,"нет",BK25/BL25*100)</f>
        <v>нет</v>
      </c>
      <c r="BN25" s="923">
        <f>Кадры!E25</f>
        <v>0</v>
      </c>
      <c r="BO25" s="941">
        <f>Кадры!$K25</f>
        <v>0</v>
      </c>
      <c r="BP25" s="343" t="str">
        <f t="shared" si="31"/>
        <v>нет</v>
      </c>
      <c r="BQ25" s="342" t="e">
        <f t="shared" si="32"/>
        <v>#DIV/0!</v>
      </c>
      <c r="BR25" s="940">
        <f>Кадры!$L25</f>
        <v>0</v>
      </c>
      <c r="BS25" s="1544">
        <f>Кадры!$J25</f>
        <v>0</v>
      </c>
      <c r="BT25" s="343">
        <f t="shared" si="33"/>
        <v>0</v>
      </c>
      <c r="BU25" s="817">
        <f t="shared" si="34"/>
        <v>100</v>
      </c>
      <c r="BV25" s="923">
        <f>Кадры!$D25</f>
        <v>0</v>
      </c>
      <c r="BW25" s="919">
        <f>Кадры!$F25</f>
        <v>0</v>
      </c>
      <c r="BX25" s="817" t="e">
        <f t="shared" si="35"/>
        <v>#DIV/0!</v>
      </c>
      <c r="BY25" s="940">
        <f>Кадры!$P25</f>
        <v>0</v>
      </c>
      <c r="BZ25" s="941">
        <f>Кадры!$L25</f>
        <v>0</v>
      </c>
      <c r="CA25" s="342" t="str">
        <f t="shared" si="42"/>
        <v>нет</v>
      </c>
      <c r="CC25" s="986" t="s">
        <v>335</v>
      </c>
      <c r="CD25" s="268"/>
      <c r="CE25" s="961"/>
      <c r="CG25" s="335" t="e">
        <f t="array" ref="CG25">SUM(IF($F25:$CA25=нет,0,IF($F25:$CA25&gt;=$F$16:$CA$16,$F$16:$CA$16,IF($F25:$CA25&lt;$F$17:$CA$17,0,$F25:$CA25)))*$F$11:$CA$11*($F$104:$CA$104=CG$4)/$F$16:$CA$16*($F$106:$CA$115*($B$106:$B$115=$B25)*($A$106:$A$115=$A$104)))</f>
        <v>#DIV/0!</v>
      </c>
      <c r="CH25" s="335" t="e">
        <f t="array" ref="CH25">SUM(IF($F25:$CA25=нет,0,IF($F25:$CA25&gt;=$F$16:$CA$16,$F$16:$CA$16,IF($F25:$CA25&lt;$F$17:$CA$17,0,$F25:$CA25)))*$F$11:$CA$11*($F$104:$CA$104=CH$4)/$F$16:$CA$16*($F$106:$CA$115*($B$106:$B$115=$B25)*($A$106:$A$115=$A$104)))</f>
        <v>#DIV/0!</v>
      </c>
      <c r="CI25" s="335" t="e">
        <f t="array" ref="CI25">SUM(IF($F25:$CA25=нет,0,IF($F25:$CA25&gt;=$F$16:$CA$16,$F$16:$CA$16,IF($F25:$CA25&lt;$F$17:$CA$17,0,$F25:$CA25)))*$F$11:$CA$11*($F$105:$CA$105=CI$4)/$F$16:$CA$16*($F$106:$CA$115*($B$106:$B$115=$B25)*($A$106:$A$115=$A$104)))</f>
        <v>#DIV/0!</v>
      </c>
      <c r="CJ25" s="1072" t="e">
        <f>'НУ(ВИД3)'!D26</f>
        <v>#DIV/0!</v>
      </c>
      <c r="CK25" s="335" t="e">
        <f t="array" ref="CK25">SUM(IF($F25:$CA25=нет,0,IF($F25:$CA25&gt;=$F$16:$CA$16,$F$16:$CA$16,IF($F25:$CA25&lt;$F$17:$CA$17,0,$F25:$CA25)))*$F$11:$CA$11*($F$104:$CA$104=CK$4)/$F$16:$CA$16*($F$106:$CA$115*($B$106:$B$115=$B25)*($A$106:$A$115=$A$104)))</f>
        <v>#DIV/0!</v>
      </c>
      <c r="CL25" s="335" t="e">
        <f t="array" ref="CL25">SUM(IF($F25:$CA25=нет,0,IF($F25:$CA25&gt;=$F$16:$CA$16,$F$16:$CA$16,IF($F25:$CA25&lt;$F$17:$CA$17,0,$F25:$CA25)))*$F$11:$CA$11*($F$104:$CA$104=CL$4)/$F$16:$CA$16*($F$106:$CA$115*($B$106:$B$115=$B25)*($A$106:$A$115=$A$104)))</f>
        <v>#DIV/0!</v>
      </c>
      <c r="CM25" s="335" t="e">
        <f t="array" ref="CM25">SUM(IF($F25:$CA25=нет,0,IF($F25:$CA25&gt;=$F$16:$CA$16,$F$16:$CA$16,IF($F25:$CA25&lt;$F$17:$CA$17,0,$F25:$CA25)))*$F$11:$CA$11*($F$104:$CA$104=CM$4)/$F$16:$CA$16*($F$106:$CA$115*($B$106:$B$115=$B25)*($A$106:$A$115=$A$104)))</f>
        <v>#DIV/0!</v>
      </c>
      <c r="CO25" s="1000" t="e">
        <f t="array" ref="CO25">SUM(IF($F25:$CA25=нет,0,100)*$F$11:$CA$11*($F$104:$CA$104=CO$4)/100*($F$106:$CA$115*($B$106:$B$115=$B25)*($A$106:$A$115=$A$104)))</f>
        <v>#DIV/0!</v>
      </c>
      <c r="CP25" s="1000" t="e">
        <f t="array" ref="CP25">SUM(IF($F25:$CA25=нет,0,100)*$F$11:$CA$11*($F$104:$CA$104=CP$4)/100*($F$106:$CA$115*($B$106:$B$115=$B25)*($A$106:$A$115=$A$104)))</f>
        <v>#DIV/0!</v>
      </c>
      <c r="CQ25" s="1000" t="e">
        <f t="array" ref="CQ25">SUM(IF($F25:$CA25=нет,0,100)*$F$11:$CA$11*($F$105:$CA$105=CQ$4)/100*($F$106:$CA$115*($B$106:$B$115=$B25)*($A$106:$A$115=$A$104)))</f>
        <v>#DIV/0!</v>
      </c>
      <c r="CR25" s="1057">
        <f>'НУ(ВИД3)'!E26</f>
        <v>21</v>
      </c>
      <c r="CS25" s="1000" t="e">
        <f t="array" ref="CS25">SUM(IF($F25:$CA25=нет,0,100)*$F$11:$CA$11*($F$104:$CA$104=CS$4)/100*($F$106:$CA$115*($B$106:$B$115=$B25)*($A$106:$A$115=$A$104)))</f>
        <v>#DIV/0!</v>
      </c>
      <c r="CT25" s="1000" t="e">
        <f t="array" ref="CT25">SUM(IF($F25:$CA25=нет,0,100)*$F$11:$CA$11*($F$104:$CA$104=CT$4)/100*($F$106:$CA$115*($B$106:$B$115=$B25)*($A$106:$A$115=$A$104)))</f>
        <v>#DIV/0!</v>
      </c>
      <c r="CU25" s="1000" t="e">
        <f t="array" ref="CU25">SUM(IF($F25:$CA25=нет,0,100)*$F$11:$CA$11*($F$104:$CA$104=CU$4)/100*($F$106:$CA$115*($B$106:$B$115=$B25)*($A$106:$A$115=$A$104)))</f>
        <v>#DIV/0!</v>
      </c>
      <c r="CW25" s="333" t="e">
        <f>SUM(CG25:CH25,CJ25:CM25,'Реестр ППС'!#REF!,' "Вуз зож"'!S25)</f>
        <v>#REF!</v>
      </c>
      <c r="CX25" s="333" t="e">
        <f>SUM(CO25:CP25,CR25:CU25,'Реестр ППС'!#REF!,' "Вуз зож"'!T25)</f>
        <v>#REF!</v>
      </c>
      <c r="CY25" s="332" t="e">
        <f t="shared" si="10"/>
        <v>#REF!</v>
      </c>
      <c r="DA25" s="336" t="e">
        <f>SUM(CI25:CK25,CM25,'Реестр ППС'!#REF!,' "Вуз зож"'!S25)</f>
        <v>#REF!</v>
      </c>
      <c r="DB25" s="336" t="e">
        <f>SUM(CQ25:CS25,CU25,'Реестр ППС'!#REF!,' "Вуз зож"'!T25)</f>
        <v>#REF!</v>
      </c>
      <c r="DC25" s="332" t="e">
        <f t="shared" si="37"/>
        <v>#REF!</v>
      </c>
      <c r="DD25" s="961"/>
      <c r="DE25" s="337" t="e">
        <f t="shared" si="11"/>
        <v>#DIV/0!</v>
      </c>
      <c r="DF25" s="337" t="e">
        <f t="shared" si="12"/>
        <v>#DIV/0!</v>
      </c>
      <c r="DG25" s="337" t="e">
        <f t="shared" si="13"/>
        <v>#DIV/0!</v>
      </c>
      <c r="DH25" s="337" t="e">
        <f t="shared" si="14"/>
        <v>#DIV/0!</v>
      </c>
      <c r="DI25" s="337" t="e">
        <f t="shared" si="15"/>
        <v>#DIV/0!</v>
      </c>
      <c r="DJ25" s="337" t="e">
        <f t="shared" si="16"/>
        <v>#DIV/0!</v>
      </c>
      <c r="DK25" s="337" t="e">
        <f t="shared" si="17"/>
        <v>#DIV/0!</v>
      </c>
      <c r="DL25" s="334" t="str">
        <f t="shared" si="4"/>
        <v>Неврологии и Нейрохирургии с курсом ДПО</v>
      </c>
      <c r="DM25" s="215" t="str">
        <f t="shared" si="18"/>
        <v>КМЕДИЦИНЫ</v>
      </c>
      <c r="DN25" s="1505" t="e">
        <f t="shared" si="38"/>
        <v>#REF!</v>
      </c>
      <c r="DO25" s="338"/>
      <c r="DP25" s="338"/>
      <c r="DQ25" s="338"/>
      <c r="DR25" s="318"/>
      <c r="DS25" s="318"/>
      <c r="DT25" s="318"/>
      <c r="DU25" s="318"/>
      <c r="DV25" s="318"/>
      <c r="DW25" s="318"/>
      <c r="DX25" s="318"/>
    </row>
    <row r="26" spans="1:128" s="215" customFormat="1" ht="15.75" thickBot="1" x14ac:dyDescent="0.25">
      <c r="A26" s="550" t="s">
        <v>107</v>
      </c>
      <c r="B26" s="340" t="s">
        <v>7</v>
      </c>
      <c r="C26" s="482">
        <f>Кадры!C26</f>
        <v>0</v>
      </c>
      <c r="D26" s="2076" t="str">
        <f t="shared" si="19"/>
        <v>КМЕДИЦИНЫ</v>
      </c>
      <c r="E26" s="2074" t="s">
        <v>16</v>
      </c>
      <c r="F26" s="859" t="s">
        <v>31</v>
      </c>
      <c r="G26" s="904"/>
      <c r="H26" s="817">
        <f t="shared" si="5"/>
        <v>100</v>
      </c>
      <c r="I26" s="1748"/>
      <c r="J26" s="817">
        <f t="shared" si="6"/>
        <v>100</v>
      </c>
      <c r="K26" s="1573">
        <f>МероприятияВуза!$AR26+МероприятияВуза!$AQ26</f>
        <v>0</v>
      </c>
      <c r="L26" s="919">
        <f>МероприятияВуза!$G26+МероприятияВуза!$H26</f>
        <v>0</v>
      </c>
      <c r="M26" s="925" t="str">
        <f t="shared" si="20"/>
        <v>нет</v>
      </c>
      <c r="N26" s="923">
        <f>МероприятияВуза!$AS26</f>
        <v>0</v>
      </c>
      <c r="O26" s="919">
        <f>МероприятияВуза!$I26+МероприятияВуза!$J26</f>
        <v>0</v>
      </c>
      <c r="P26" s="925" t="str">
        <f t="shared" si="21"/>
        <v>нет</v>
      </c>
      <c r="Q26" s="1838"/>
      <c r="R26" s="817">
        <f t="shared" si="22"/>
        <v>100</v>
      </c>
      <c r="S26" s="1847"/>
      <c r="T26" s="1848"/>
      <c r="U26" s="844" t="str">
        <f t="shared" si="23"/>
        <v>нет</v>
      </c>
      <c r="V26" s="904"/>
      <c r="W26" s="909"/>
      <c r="X26" s="844" t="str">
        <f t="shared" si="7"/>
        <v>нет</v>
      </c>
      <c r="Y26" s="1857"/>
      <c r="Z26" s="1858"/>
      <c r="AA26" s="844" t="str">
        <f t="shared" si="8"/>
        <v>нет</v>
      </c>
      <c r="AB26" s="1748"/>
      <c r="AC26" s="909"/>
      <c r="AD26" s="912" t="str">
        <f t="shared" si="24"/>
        <v>нет</v>
      </c>
      <c r="AE26" s="947"/>
      <c r="AF26" s="949"/>
      <c r="AG26" s="844" t="str">
        <f t="shared" si="9"/>
        <v>нет</v>
      </c>
      <c r="AH26" s="951"/>
      <c r="AI26" s="949"/>
      <c r="AJ26" s="844" t="str">
        <f t="shared" si="25"/>
        <v>нет</v>
      </c>
      <c r="AK26" s="935">
        <f>ПрофРабота!$Q26</f>
        <v>0</v>
      </c>
      <c r="AL26" s="485">
        <f>ПрофРабота!$R26</f>
        <v>0</v>
      </c>
      <c r="AM26" s="485">
        <f>ПрофРабота!$S26</f>
        <v>0</v>
      </c>
      <c r="AN26" s="817">
        <f>ПрофРабота!$C26</f>
        <v>0</v>
      </c>
      <c r="AO26" s="923">
        <f>МероприятияВуза!$AT26</f>
        <v>0</v>
      </c>
      <c r="AP26" s="919">
        <f>МероприятияВуза!$K26</f>
        <v>0</v>
      </c>
      <c r="AQ26" s="817" t="str">
        <f t="shared" si="26"/>
        <v>нет</v>
      </c>
      <c r="AR26" s="938">
        <f>'ДПО(Финансы)'!$R26</f>
        <v>0</v>
      </c>
      <c r="AS26" s="939">
        <f>'ДПО(Финансы)'!$D26</f>
        <v>0</v>
      </c>
      <c r="AT26" s="510">
        <f t="shared" si="27"/>
        <v>0</v>
      </c>
      <c r="AU26" s="1519" t="str">
        <f t="shared" si="28"/>
        <v>нет</v>
      </c>
      <c r="AV26" s="938">
        <f>'ДПО(Финансы)'!$R26</f>
        <v>0</v>
      </c>
      <c r="AW26" s="939">
        <f>'ИДО(Финансы)'!$R26</f>
        <v>0</v>
      </c>
      <c r="AX26" s="939">
        <f>'ДПО(Финансы)'!$S26</f>
        <v>0</v>
      </c>
      <c r="AY26" s="939">
        <f>'ИДО(Финансы)'!$S26</f>
        <v>0</v>
      </c>
      <c r="AZ26" s="839" t="e">
        <f t="shared" si="0"/>
        <v>#DIV/0!</v>
      </c>
      <c r="BA26" s="1520" t="str">
        <f t="shared" si="39"/>
        <v>нет</v>
      </c>
      <c r="BB26" s="1521" t="str">
        <f t="array" ref="BB26">IF(($E26="да"),IF($AX26=0,"нет",$AV26/$AX26*100),"нет")</f>
        <v>нет</v>
      </c>
      <c r="BC26" s="1522" t="str">
        <f t="shared" si="1"/>
        <v>нет</v>
      </c>
      <c r="BD26" s="1522" t="e">
        <f t="array" ref="BD26">IF(($E26="да"),IF($AZ26&gt;$AZ$17,$AZ26/$AZ$16*BD$16,нет),нет)</f>
        <v>#DIV/0!</v>
      </c>
      <c r="BE26" s="938">
        <f>'ИДО(Финансы)'!$R26</f>
        <v>0</v>
      </c>
      <c r="BF26" s="939">
        <f>'ИДО(Финансы)'!D26</f>
        <v>0</v>
      </c>
      <c r="BG26" s="510" t="str">
        <f t="shared" si="40"/>
        <v>нет</v>
      </c>
      <c r="BH26" s="1519" t="str">
        <f t="shared" si="41"/>
        <v>нет</v>
      </c>
      <c r="BI26" s="1523" t="str">
        <f t="array" ref="BI26">IF(($E26="да")+($F26="да"),IF((BF26+AS26)=0,"нет",(AR26+BE26)/(BF26+AS26)*100),"нет")</f>
        <v>нет</v>
      </c>
      <c r="BJ26" s="829">
        <f>Кадры!$I26</f>
        <v>0</v>
      </c>
      <c r="BK26" s="940">
        <f>Кадры!$O26</f>
        <v>0</v>
      </c>
      <c r="BL26" s="941">
        <f>Кадры!$K26</f>
        <v>0</v>
      </c>
      <c r="BM26" s="821" t="str">
        <f t="array" ref="BM26">IF(BL26=0,"нет",BK26/BL26*100)</f>
        <v>нет</v>
      </c>
      <c r="BN26" s="923">
        <f>Кадры!E26</f>
        <v>0</v>
      </c>
      <c r="BO26" s="941">
        <f>Кадры!$K26</f>
        <v>0</v>
      </c>
      <c r="BP26" s="343" t="str">
        <f t="shared" si="31"/>
        <v>нет</v>
      </c>
      <c r="BQ26" s="342" t="e">
        <f t="shared" si="32"/>
        <v>#DIV/0!</v>
      </c>
      <c r="BR26" s="940">
        <f>Кадры!$L26</f>
        <v>0</v>
      </c>
      <c r="BS26" s="1544">
        <f>Кадры!$J26</f>
        <v>0</v>
      </c>
      <c r="BT26" s="343">
        <f t="shared" si="33"/>
        <v>0</v>
      </c>
      <c r="BU26" s="817">
        <f t="shared" si="34"/>
        <v>100</v>
      </c>
      <c r="BV26" s="923">
        <f>Кадры!$D26</f>
        <v>0</v>
      </c>
      <c r="BW26" s="919">
        <f>Кадры!$F26</f>
        <v>0</v>
      </c>
      <c r="BX26" s="817" t="e">
        <f t="shared" si="35"/>
        <v>#DIV/0!</v>
      </c>
      <c r="BY26" s="940">
        <f>Кадры!$P26</f>
        <v>0</v>
      </c>
      <c r="BZ26" s="941">
        <f>Кадры!$L26</f>
        <v>0</v>
      </c>
      <c r="CA26" s="342" t="str">
        <f t="shared" si="42"/>
        <v>нет</v>
      </c>
      <c r="CC26" s="986" t="s">
        <v>335</v>
      </c>
      <c r="CD26" s="268"/>
      <c r="CE26" s="961"/>
      <c r="CG26" s="335" t="e">
        <f t="array" ref="CG26">SUM(IF($F26:$CA26=нет,0,IF($F26:$CA26&gt;=$F$16:$CA$16,$F$16:$CA$16,IF($F26:$CA26&lt;$F$17:$CA$17,0,$F26:$CA26)))*$F$11:$CA$11*($F$104:$CA$104=CG$4)/$F$16:$CA$16*($F$106:$CA$115*($B$106:$B$115=$B26)*($A$106:$A$115=$A$104)))</f>
        <v>#DIV/0!</v>
      </c>
      <c r="CH26" s="335" t="e">
        <f t="array" ref="CH26">SUM(IF($F26:$CA26=нет,0,IF($F26:$CA26&gt;=$F$16:$CA$16,$F$16:$CA$16,IF($F26:$CA26&lt;$F$17:$CA$17,0,$F26:$CA26)))*$F$11:$CA$11*($F$104:$CA$104=CH$4)/$F$16:$CA$16*($F$106:$CA$115*($B$106:$B$115=$B26)*($A$106:$A$115=$A$104)))</f>
        <v>#DIV/0!</v>
      </c>
      <c r="CI26" s="335" t="e">
        <f t="array" ref="CI26">SUM(IF($F26:$CA26=нет,0,IF($F26:$CA26&gt;=$F$16:$CA$16,$F$16:$CA$16,IF($F26:$CA26&lt;$F$17:$CA$17,0,$F26:$CA26)))*$F$11:$CA$11*($F$105:$CA$105=CI$4)/$F$16:$CA$16*($F$106:$CA$115*($B$106:$B$115=$B26)*($A$106:$A$115=$A$104)))</f>
        <v>#DIV/0!</v>
      </c>
      <c r="CJ26" s="1072" t="e">
        <f>'НУ(ВИД3)'!D27</f>
        <v>#DIV/0!</v>
      </c>
      <c r="CK26" s="335" t="e">
        <f t="array" ref="CK26">SUM(IF($F26:$CA26=нет,0,IF($F26:$CA26&gt;=$F$16:$CA$16,$F$16:$CA$16,IF($F26:$CA26&lt;$F$17:$CA$17,0,$F26:$CA26)))*$F$11:$CA$11*($F$104:$CA$104=CK$4)/$F$16:$CA$16*($F$106:$CA$115*($B$106:$B$115=$B26)*($A$106:$A$115=$A$104)))</f>
        <v>#DIV/0!</v>
      </c>
      <c r="CL26" s="335" t="e">
        <f t="array" ref="CL26">SUM(IF($F26:$CA26=нет,0,IF($F26:$CA26&gt;=$F$16:$CA$16,$F$16:$CA$16,IF($F26:$CA26&lt;$F$17:$CA$17,0,$F26:$CA26)))*$F$11:$CA$11*($F$104:$CA$104=CL$4)/$F$16:$CA$16*($F$106:$CA$115*($B$106:$B$115=$B26)*($A$106:$A$115=$A$104)))</f>
        <v>#DIV/0!</v>
      </c>
      <c r="CM26" s="335" t="e">
        <f t="array" ref="CM26">SUM(IF($F26:$CA26=нет,0,IF($F26:$CA26&gt;=$F$16:$CA$16,$F$16:$CA$16,IF($F26:$CA26&lt;$F$17:$CA$17,0,$F26:$CA26)))*$F$11:$CA$11*($F$104:$CA$104=CM$4)/$F$16:$CA$16*($F$106:$CA$115*($B$106:$B$115=$B26)*($A$106:$A$115=$A$104)))</f>
        <v>#DIV/0!</v>
      </c>
      <c r="CO26" s="1000" t="e">
        <f t="array" ref="CO26">SUM(IF($F26:$CA26=нет,0,100)*$F$11:$CA$11*($F$104:$CA$104=CO$4)/100*($F$106:$CA$115*($B$106:$B$115=$B26)*($A$106:$A$115=$A$104)))</f>
        <v>#DIV/0!</v>
      </c>
      <c r="CP26" s="1000" t="e">
        <f t="array" ref="CP26">SUM(IF($F26:$CA26=нет,0,100)*$F$11:$CA$11*($F$104:$CA$104=CP$4)/100*($F$106:$CA$115*($B$106:$B$115=$B26)*($A$106:$A$115=$A$104)))</f>
        <v>#DIV/0!</v>
      </c>
      <c r="CQ26" s="1000" t="e">
        <f t="array" ref="CQ26">SUM(IF($F26:$CA26=нет,0,100)*$F$11:$CA$11*($F$105:$CA$105=CQ$4)/100*($F$106:$CA$115*($B$106:$B$115=$B26)*($A$106:$A$115=$A$104)))</f>
        <v>#DIV/0!</v>
      </c>
      <c r="CR26" s="1057">
        <f>'НУ(ВИД3)'!E27</f>
        <v>21</v>
      </c>
      <c r="CS26" s="1000" t="e">
        <f t="array" ref="CS26">SUM(IF($F26:$CA26=нет,0,100)*$F$11:$CA$11*($F$104:$CA$104=CS$4)/100*($F$106:$CA$115*($B$106:$B$115=$B26)*($A$106:$A$115=$A$104)))</f>
        <v>#DIV/0!</v>
      </c>
      <c r="CT26" s="1000" t="e">
        <f t="array" ref="CT26">SUM(IF($F26:$CA26=нет,0,100)*$F$11:$CA$11*($F$104:$CA$104=CT$4)/100*($F$106:$CA$115*($B$106:$B$115=$B26)*($A$106:$A$115=$A$104)))</f>
        <v>#DIV/0!</v>
      </c>
      <c r="CU26" s="1000" t="e">
        <f t="array" ref="CU26">SUM(IF($F26:$CA26=нет,0,100)*$F$11:$CA$11*($F$104:$CA$104=CU$4)/100*($F$106:$CA$115*($B$106:$B$115=$B26)*($A$106:$A$115=$A$104)))</f>
        <v>#DIV/0!</v>
      </c>
      <c r="CW26" s="333" t="e">
        <f>SUM(CG26:CH26,CJ26:CM26,'Реестр ППС'!#REF!,' "Вуз зож"'!S26)</f>
        <v>#REF!</v>
      </c>
      <c r="CX26" s="333" t="e">
        <f>SUM(CO26:CP26,CR26:CU26,'Реестр ППС'!#REF!,' "Вуз зож"'!T26)</f>
        <v>#REF!</v>
      </c>
      <c r="CY26" s="332" t="e">
        <f t="shared" si="10"/>
        <v>#REF!</v>
      </c>
      <c r="DA26" s="336" t="e">
        <f>SUM(CI26:CK26,CM26,'Реестр ППС'!#REF!,' "Вуз зож"'!S26)</f>
        <v>#REF!</v>
      </c>
      <c r="DB26" s="336" t="e">
        <f>SUM(CQ26:CS26,CU26,'Реестр ППС'!#REF!,' "Вуз зож"'!T26)</f>
        <v>#REF!</v>
      </c>
      <c r="DC26" s="332" t="e">
        <f t="shared" si="37"/>
        <v>#REF!</v>
      </c>
      <c r="DD26" s="961"/>
      <c r="DE26" s="337" t="e">
        <f t="shared" si="11"/>
        <v>#DIV/0!</v>
      </c>
      <c r="DF26" s="337" t="e">
        <f t="shared" si="12"/>
        <v>#DIV/0!</v>
      </c>
      <c r="DG26" s="337" t="e">
        <f t="shared" si="13"/>
        <v>#DIV/0!</v>
      </c>
      <c r="DH26" s="337" t="e">
        <f t="shared" si="14"/>
        <v>#DIV/0!</v>
      </c>
      <c r="DI26" s="337" t="e">
        <f t="shared" si="15"/>
        <v>#DIV/0!</v>
      </c>
      <c r="DJ26" s="337" t="e">
        <f t="shared" si="16"/>
        <v>#DIV/0!</v>
      </c>
      <c r="DK26" s="337" t="e">
        <f t="shared" si="17"/>
        <v>#DIV/0!</v>
      </c>
      <c r="DL26" s="334" t="str">
        <f t="shared" si="4"/>
        <v>Нормальной физиологии</v>
      </c>
      <c r="DM26" s="215" t="str">
        <f t="shared" si="18"/>
        <v>КМЕДИЦИНЫ</v>
      </c>
      <c r="DN26" s="1505" t="e">
        <f t="shared" si="38"/>
        <v>#REF!</v>
      </c>
      <c r="DO26" s="338"/>
      <c r="DP26" s="338"/>
      <c r="DQ26" s="338"/>
      <c r="DR26" s="318"/>
      <c r="DS26" s="318"/>
      <c r="DT26" s="318"/>
      <c r="DU26" s="318"/>
      <c r="DV26" s="318"/>
      <c r="DW26" s="318"/>
      <c r="DX26" s="318"/>
    </row>
    <row r="27" spans="1:128" s="215" customFormat="1" ht="15.75" thickBot="1" x14ac:dyDescent="0.25">
      <c r="A27" s="550" t="s">
        <v>95</v>
      </c>
      <c r="B27" s="340" t="s">
        <v>7</v>
      </c>
      <c r="C27" s="482">
        <f>Кадры!C27</f>
        <v>0</v>
      </c>
      <c r="D27" s="2076" t="str">
        <f t="shared" si="19"/>
        <v>КМЕДИЦИНЫ</v>
      </c>
      <c r="E27" s="2074" t="s">
        <v>16</v>
      </c>
      <c r="F27" s="859" t="s">
        <v>31</v>
      </c>
      <c r="G27" s="904"/>
      <c r="H27" s="817">
        <f t="shared" si="5"/>
        <v>100</v>
      </c>
      <c r="I27" s="1748"/>
      <c r="J27" s="817">
        <f t="shared" si="6"/>
        <v>100</v>
      </c>
      <c r="K27" s="1573">
        <f>МероприятияВуза!$AR27+МероприятияВуза!$AQ27</f>
        <v>0</v>
      </c>
      <c r="L27" s="919">
        <f>МероприятияВуза!$G27+МероприятияВуза!$H27</f>
        <v>0</v>
      </c>
      <c r="M27" s="925" t="str">
        <f t="shared" si="20"/>
        <v>нет</v>
      </c>
      <c r="N27" s="923">
        <f>МероприятияВуза!$AS27</f>
        <v>0</v>
      </c>
      <c r="O27" s="919">
        <f>МероприятияВуза!$I27+МероприятияВуза!$J27</f>
        <v>0</v>
      </c>
      <c r="P27" s="925" t="str">
        <f t="shared" si="21"/>
        <v>нет</v>
      </c>
      <c r="Q27" s="1838"/>
      <c r="R27" s="817">
        <f t="shared" si="22"/>
        <v>100</v>
      </c>
      <c r="S27" s="1847"/>
      <c r="T27" s="1848"/>
      <c r="U27" s="844" t="str">
        <f t="shared" si="23"/>
        <v>нет</v>
      </c>
      <c r="V27" s="904"/>
      <c r="W27" s="909"/>
      <c r="X27" s="844" t="str">
        <f t="shared" si="7"/>
        <v>нет</v>
      </c>
      <c r="Y27" s="1857"/>
      <c r="Z27" s="1858"/>
      <c r="AA27" s="844" t="str">
        <f t="shared" si="8"/>
        <v>нет</v>
      </c>
      <c r="AB27" s="1748"/>
      <c r="AC27" s="909"/>
      <c r="AD27" s="912" t="str">
        <f t="shared" si="24"/>
        <v>нет</v>
      </c>
      <c r="AE27" s="947"/>
      <c r="AF27" s="949"/>
      <c r="AG27" s="844" t="str">
        <f t="shared" si="9"/>
        <v>нет</v>
      </c>
      <c r="AH27" s="951"/>
      <c r="AI27" s="949"/>
      <c r="AJ27" s="844" t="str">
        <f t="shared" si="25"/>
        <v>нет</v>
      </c>
      <c r="AK27" s="935">
        <f>ПрофРабота!$Q27</f>
        <v>0</v>
      </c>
      <c r="AL27" s="485">
        <f>ПрофРабота!$R27</f>
        <v>0</v>
      </c>
      <c r="AM27" s="485">
        <f>ПрофРабота!$S27</f>
        <v>0</v>
      </c>
      <c r="AN27" s="817">
        <f>ПрофРабота!$C27</f>
        <v>0</v>
      </c>
      <c r="AO27" s="923">
        <f>МероприятияВуза!$AT27</f>
        <v>0</v>
      </c>
      <c r="AP27" s="919">
        <f>МероприятияВуза!$K27</f>
        <v>0</v>
      </c>
      <c r="AQ27" s="817" t="str">
        <f t="shared" si="26"/>
        <v>нет</v>
      </c>
      <c r="AR27" s="938">
        <f>'ДПО(Финансы)'!$R27</f>
        <v>0</v>
      </c>
      <c r="AS27" s="939">
        <f>'ДПО(Финансы)'!$D27</f>
        <v>30000</v>
      </c>
      <c r="AT27" s="510">
        <f t="shared" si="27"/>
        <v>0</v>
      </c>
      <c r="AU27" s="1519">
        <f t="shared" si="28"/>
        <v>0</v>
      </c>
      <c r="AV27" s="938">
        <f>'ДПО(Финансы)'!$R27</f>
        <v>0</v>
      </c>
      <c r="AW27" s="939">
        <f>'ИДО(Финансы)'!$R27</f>
        <v>0</v>
      </c>
      <c r="AX27" s="939">
        <f>'ДПО(Финансы)'!$S27</f>
        <v>34500</v>
      </c>
      <c r="AY27" s="939">
        <f>'ИДО(Финансы)'!$S27</f>
        <v>0</v>
      </c>
      <c r="AZ27" s="839" t="e">
        <f t="shared" si="0"/>
        <v>#DIV/0!</v>
      </c>
      <c r="BA27" s="1520">
        <f t="shared" si="39"/>
        <v>-100</v>
      </c>
      <c r="BB27" s="1521">
        <f t="array" ref="BB27">IF(($E27="да"),IF($AX27=0,"нет",$AV27/$AX27*100),"нет")</f>
        <v>0</v>
      </c>
      <c r="BC27" s="1522">
        <f t="shared" si="1"/>
        <v>0</v>
      </c>
      <c r="BD27" s="1522" t="e">
        <f t="array" ref="BD27">IF(($E27="да"),IF($AZ27&gt;$AZ$17,$AZ27/$AZ$16*BD$16,нет),нет)</f>
        <v>#DIV/0!</v>
      </c>
      <c r="BE27" s="938">
        <f>'ИДО(Финансы)'!$R27</f>
        <v>0</v>
      </c>
      <c r="BF27" s="939">
        <f>'ИДО(Финансы)'!D27</f>
        <v>0</v>
      </c>
      <c r="BG27" s="510" t="str">
        <f t="shared" si="40"/>
        <v>нет</v>
      </c>
      <c r="BH27" s="1519" t="str">
        <f t="shared" si="41"/>
        <v>нет</v>
      </c>
      <c r="BI27" s="1523">
        <f t="array" ref="BI27">IF(($E27="да")+($F27="да"),IF((BF27+AS27)=0,"нет",(AR27+BE27)/(BF27+AS27)*100),"нет")</f>
        <v>0</v>
      </c>
      <c r="BJ27" s="829">
        <f>Кадры!$I27</f>
        <v>0</v>
      </c>
      <c r="BK27" s="940">
        <f>Кадры!$O27</f>
        <v>0</v>
      </c>
      <c r="BL27" s="941">
        <f>Кадры!$K27</f>
        <v>0</v>
      </c>
      <c r="BM27" s="821" t="str">
        <f t="array" ref="BM27">IF(BL27=0,"нет",BK27/BL27*100)</f>
        <v>нет</v>
      </c>
      <c r="BN27" s="923">
        <f>Кадры!E27</f>
        <v>0</v>
      </c>
      <c r="BO27" s="941">
        <f>Кадры!$K27</f>
        <v>0</v>
      </c>
      <c r="BP27" s="343" t="str">
        <f t="shared" si="31"/>
        <v>нет</v>
      </c>
      <c r="BQ27" s="342" t="e">
        <f t="shared" si="32"/>
        <v>#DIV/0!</v>
      </c>
      <c r="BR27" s="940">
        <f>Кадры!$L27</f>
        <v>0</v>
      </c>
      <c r="BS27" s="1544">
        <f>Кадры!$J27</f>
        <v>0</v>
      </c>
      <c r="BT27" s="343">
        <f t="shared" si="33"/>
        <v>0</v>
      </c>
      <c r="BU27" s="817">
        <f t="shared" si="34"/>
        <v>100</v>
      </c>
      <c r="BV27" s="923">
        <f>Кадры!$D27</f>
        <v>0</v>
      </c>
      <c r="BW27" s="919">
        <f>Кадры!$F27</f>
        <v>0</v>
      </c>
      <c r="BX27" s="817" t="e">
        <f t="shared" si="35"/>
        <v>#DIV/0!</v>
      </c>
      <c r="BY27" s="940">
        <f>Кадры!$P27</f>
        <v>0</v>
      </c>
      <c r="BZ27" s="941">
        <f>Кадры!$L27</f>
        <v>0</v>
      </c>
      <c r="CA27" s="342" t="str">
        <f t="shared" si="42"/>
        <v>нет</v>
      </c>
      <c r="CC27" s="986" t="s">
        <v>335</v>
      </c>
      <c r="CD27" s="268"/>
      <c r="CE27" s="961"/>
      <c r="CG27" s="335" t="e">
        <f t="array" ref="CG27">SUM(IF($F27:$CA27=нет,0,IF($F27:$CA27&gt;=$F$16:$CA$16,$F$16:$CA$16,IF($F27:$CA27&lt;$F$17:$CA$17,0,$F27:$CA27)))*$F$11:$CA$11*($F$104:$CA$104=CG$4)/$F$16:$CA$16*($F$106:$CA$115*($B$106:$B$115=$B27)*($A$106:$A$115=$A$104)))</f>
        <v>#DIV/0!</v>
      </c>
      <c r="CH27" s="335" t="e">
        <f t="array" ref="CH27">SUM(IF($F27:$CA27=нет,0,IF($F27:$CA27&gt;=$F$16:$CA$16,$F$16:$CA$16,IF($F27:$CA27&lt;$F$17:$CA$17,0,$F27:$CA27)))*$F$11:$CA$11*($F$104:$CA$104=CH$4)/$F$16:$CA$16*($F$106:$CA$115*($B$106:$B$115=$B27)*($A$106:$A$115=$A$104)))</f>
        <v>#DIV/0!</v>
      </c>
      <c r="CI27" s="335" t="e">
        <f t="array" ref="CI27">SUM(IF($F27:$CA27=нет,0,IF($F27:$CA27&gt;=$F$16:$CA$16,$F$16:$CA$16,IF($F27:$CA27&lt;$F$17:$CA$17,0,$F27:$CA27)))*$F$11:$CA$11*($F$105:$CA$105=CI$4)/$F$16:$CA$16*($F$106:$CA$115*($B$106:$B$115=$B27)*($A$106:$A$115=$A$104)))</f>
        <v>#DIV/0!</v>
      </c>
      <c r="CJ27" s="1072" t="e">
        <f>'НУ(ВИД3)'!D28</f>
        <v>#DIV/0!</v>
      </c>
      <c r="CK27" s="335" t="e">
        <f t="array" ref="CK27">SUM(IF($F27:$CA27=нет,0,IF($F27:$CA27&gt;=$F$16:$CA$16,$F$16:$CA$16,IF($F27:$CA27&lt;$F$17:$CA$17,0,$F27:$CA27)))*$F$11:$CA$11*($F$104:$CA$104=CK$4)/$F$16:$CA$16*($F$106:$CA$115*($B$106:$B$115=$B27)*($A$106:$A$115=$A$104)))</f>
        <v>#DIV/0!</v>
      </c>
      <c r="CL27" s="335" t="e">
        <f t="array" ref="CL27">SUM(IF($F27:$CA27=нет,0,IF($F27:$CA27&gt;=$F$16:$CA$16,$F$16:$CA$16,IF($F27:$CA27&lt;$F$17:$CA$17,0,$F27:$CA27)))*$F$11:$CA$11*($F$104:$CA$104=CL$4)/$F$16:$CA$16*($F$106:$CA$115*($B$106:$B$115=$B27)*($A$106:$A$115=$A$104)))</f>
        <v>#DIV/0!</v>
      </c>
      <c r="CM27" s="335" t="e">
        <f t="array" ref="CM27">SUM(IF($F27:$CA27=нет,0,IF($F27:$CA27&gt;=$F$16:$CA$16,$F$16:$CA$16,IF($F27:$CA27&lt;$F$17:$CA$17,0,$F27:$CA27)))*$F$11:$CA$11*($F$104:$CA$104=CM$4)/$F$16:$CA$16*($F$106:$CA$115*($B$106:$B$115=$B27)*($A$106:$A$115=$A$104)))</f>
        <v>#DIV/0!</v>
      </c>
      <c r="CO27" s="1000" t="e">
        <f t="array" ref="CO27">SUM(IF($F27:$CA27=нет,0,100)*$F$11:$CA$11*($F$104:$CA$104=CO$4)/100*($F$106:$CA$115*($B$106:$B$115=$B27)*($A$106:$A$115=$A$104)))</f>
        <v>#DIV/0!</v>
      </c>
      <c r="CP27" s="1000" t="e">
        <f t="array" ref="CP27">SUM(IF($F27:$CA27=нет,0,100)*$F$11:$CA$11*($F$104:$CA$104=CP$4)/100*($F$106:$CA$115*($B$106:$B$115=$B27)*($A$106:$A$115=$A$104)))</f>
        <v>#DIV/0!</v>
      </c>
      <c r="CQ27" s="1000" t="e">
        <f t="array" ref="CQ27">SUM(IF($F27:$CA27=нет,0,100)*$F$11:$CA$11*($F$105:$CA$105=CQ$4)/100*($F$106:$CA$115*($B$106:$B$115=$B27)*($A$106:$A$115=$A$104)))</f>
        <v>#DIV/0!</v>
      </c>
      <c r="CR27" s="1057">
        <f>'НУ(ВИД3)'!E28</f>
        <v>21</v>
      </c>
      <c r="CS27" s="1000" t="e">
        <f t="array" ref="CS27">SUM(IF($F27:$CA27=нет,0,100)*$F$11:$CA$11*($F$104:$CA$104=CS$4)/100*($F$106:$CA$115*($B$106:$B$115=$B27)*($A$106:$A$115=$A$104)))</f>
        <v>#DIV/0!</v>
      </c>
      <c r="CT27" s="1000" t="e">
        <f t="array" ref="CT27">SUM(IF($F27:$CA27=нет,0,100)*$F$11:$CA$11*($F$104:$CA$104=CT$4)/100*($F$106:$CA$115*($B$106:$B$115=$B27)*($A$106:$A$115=$A$104)))</f>
        <v>#DIV/0!</v>
      </c>
      <c r="CU27" s="1000" t="e">
        <f t="array" ref="CU27">SUM(IF($F27:$CA27=нет,0,100)*$F$11:$CA$11*($F$104:$CA$104=CU$4)/100*($F$106:$CA$115*($B$106:$B$115=$B27)*($A$106:$A$115=$A$104)))</f>
        <v>#DIV/0!</v>
      </c>
      <c r="CW27" s="333" t="e">
        <f>SUM(CG27:CH27,CJ27:CM27,'Реестр ППС'!#REF!,' "Вуз зож"'!S27)</f>
        <v>#REF!</v>
      </c>
      <c r="CX27" s="333" t="e">
        <f>SUM(CO27:CP27,CR27:CU27,'Реестр ППС'!#REF!,' "Вуз зож"'!T27)</f>
        <v>#REF!</v>
      </c>
      <c r="CY27" s="332" t="e">
        <f t="shared" si="10"/>
        <v>#REF!</v>
      </c>
      <c r="DA27" s="336" t="e">
        <f>SUM(CI27:CK27,CM27,'Реестр ППС'!#REF!,' "Вуз зож"'!S27)</f>
        <v>#REF!</v>
      </c>
      <c r="DB27" s="336" t="e">
        <f>SUM(CQ27:CS27,CU27,'Реестр ППС'!#REF!,' "Вуз зож"'!T27)</f>
        <v>#REF!</v>
      </c>
      <c r="DC27" s="332" t="e">
        <f t="shared" si="37"/>
        <v>#REF!</v>
      </c>
      <c r="DD27" s="961"/>
      <c r="DE27" s="337" t="e">
        <f t="shared" si="11"/>
        <v>#DIV/0!</v>
      </c>
      <c r="DF27" s="337" t="e">
        <f t="shared" si="12"/>
        <v>#DIV/0!</v>
      </c>
      <c r="DG27" s="337" t="e">
        <f t="shared" si="13"/>
        <v>#DIV/0!</v>
      </c>
      <c r="DH27" s="337" t="e">
        <f t="shared" si="14"/>
        <v>#DIV/0!</v>
      </c>
      <c r="DI27" s="337" t="e">
        <f t="shared" si="15"/>
        <v>#DIV/0!</v>
      </c>
      <c r="DJ27" s="337" t="e">
        <f t="shared" si="16"/>
        <v>#DIV/0!</v>
      </c>
      <c r="DK27" s="337" t="e">
        <f t="shared" si="17"/>
        <v>#DIV/0!</v>
      </c>
      <c r="DL27" s="334" t="str">
        <f t="shared" si="4"/>
        <v>Общей хирургии, оперативной хирургии и топографической анатомии</v>
      </c>
      <c r="DM27" s="215" t="str">
        <f t="shared" si="18"/>
        <v>КМЕДИЦИНЫ</v>
      </c>
      <c r="DN27" s="1505" t="e">
        <f t="shared" si="38"/>
        <v>#REF!</v>
      </c>
      <c r="DO27" s="338"/>
      <c r="DP27" s="338"/>
      <c r="DQ27" s="338"/>
      <c r="DR27" s="318"/>
      <c r="DS27" s="318"/>
      <c r="DT27" s="318"/>
      <c r="DU27" s="318"/>
      <c r="DV27" s="318"/>
      <c r="DW27" s="318"/>
      <c r="DX27" s="318"/>
    </row>
    <row r="28" spans="1:128" s="561" customFormat="1" ht="15.75" thickBot="1" x14ac:dyDescent="0.25">
      <c r="A28" s="550" t="s">
        <v>413</v>
      </c>
      <c r="B28" s="340" t="s">
        <v>7</v>
      </c>
      <c r="C28" s="482">
        <f>Кадры!C28</f>
        <v>0</v>
      </c>
      <c r="D28" s="2076" t="str">
        <f t="shared" si="19"/>
        <v>КМЕДИЦИНЫ</v>
      </c>
      <c r="E28" s="2074" t="s">
        <v>16</v>
      </c>
      <c r="F28" s="859" t="s">
        <v>31</v>
      </c>
      <c r="G28" s="904"/>
      <c r="H28" s="817">
        <f t="shared" si="5"/>
        <v>100</v>
      </c>
      <c r="I28" s="1748"/>
      <c r="J28" s="817">
        <f t="shared" si="6"/>
        <v>100</v>
      </c>
      <c r="K28" s="1573">
        <f>МероприятияВуза!$AR28+МероприятияВуза!$AQ28</f>
        <v>0</v>
      </c>
      <c r="L28" s="919">
        <f>МероприятияВуза!$G28+МероприятияВуза!$H28</f>
        <v>0</v>
      </c>
      <c r="M28" s="925" t="str">
        <f t="shared" si="20"/>
        <v>нет</v>
      </c>
      <c r="N28" s="923">
        <f>МероприятияВуза!$AS28</f>
        <v>0</v>
      </c>
      <c r="O28" s="919">
        <f>МероприятияВуза!$I28+МероприятияВуза!$J28</f>
        <v>0</v>
      </c>
      <c r="P28" s="925" t="str">
        <f t="shared" si="21"/>
        <v>нет</v>
      </c>
      <c r="Q28" s="1838"/>
      <c r="R28" s="817">
        <f t="shared" si="22"/>
        <v>100</v>
      </c>
      <c r="S28" s="1847"/>
      <c r="T28" s="1848"/>
      <c r="U28" s="844" t="str">
        <f t="shared" si="23"/>
        <v>нет</v>
      </c>
      <c r="V28" s="904"/>
      <c r="W28" s="909"/>
      <c r="X28" s="844" t="str">
        <f t="shared" si="7"/>
        <v>нет</v>
      </c>
      <c r="Y28" s="1857"/>
      <c r="Z28" s="1858"/>
      <c r="AA28" s="844" t="str">
        <f t="shared" si="8"/>
        <v>нет</v>
      </c>
      <c r="AB28" s="1748"/>
      <c r="AC28" s="909"/>
      <c r="AD28" s="912" t="str">
        <f t="shared" si="24"/>
        <v>нет</v>
      </c>
      <c r="AE28" s="947"/>
      <c r="AF28" s="949"/>
      <c r="AG28" s="844" t="str">
        <f t="shared" si="9"/>
        <v>нет</v>
      </c>
      <c r="AH28" s="951"/>
      <c r="AI28" s="949"/>
      <c r="AJ28" s="844" t="str">
        <f t="shared" si="25"/>
        <v>нет</v>
      </c>
      <c r="AK28" s="935">
        <f>ПрофРабота!$Q28</f>
        <v>0</v>
      </c>
      <c r="AL28" s="485">
        <f>ПрофРабота!$R28</f>
        <v>0</v>
      </c>
      <c r="AM28" s="485">
        <f>ПрофРабота!$S28</f>
        <v>0</v>
      </c>
      <c r="AN28" s="817">
        <f>ПрофРабота!$C28</f>
        <v>0</v>
      </c>
      <c r="AO28" s="923">
        <f>МероприятияВуза!$AT28</f>
        <v>0</v>
      </c>
      <c r="AP28" s="919">
        <f>МероприятияВуза!$K28</f>
        <v>0</v>
      </c>
      <c r="AQ28" s="817" t="str">
        <f t="shared" si="26"/>
        <v>нет</v>
      </c>
      <c r="AR28" s="938">
        <f>'ДПО(Финансы)'!$R28</f>
        <v>25650</v>
      </c>
      <c r="AS28" s="939">
        <f>'ДПО(Финансы)'!$D28</f>
        <v>50000</v>
      </c>
      <c r="AT28" s="510" t="e">
        <f t="shared" si="27"/>
        <v>#DIV/0!</v>
      </c>
      <c r="AU28" s="1519">
        <f t="shared" si="28"/>
        <v>51.300000000000004</v>
      </c>
      <c r="AV28" s="938">
        <f>'ДПО(Финансы)'!$R28</f>
        <v>25650</v>
      </c>
      <c r="AW28" s="939">
        <f>'ИДО(Финансы)'!$R28</f>
        <v>0</v>
      </c>
      <c r="AX28" s="939">
        <f>'ДПО(Финансы)'!$S28</f>
        <v>26500</v>
      </c>
      <c r="AY28" s="939">
        <f>'ИДО(Финансы)'!$S28</f>
        <v>0</v>
      </c>
      <c r="AZ28" s="839" t="e">
        <f t="shared" si="0"/>
        <v>#DIV/0!</v>
      </c>
      <c r="BA28" s="1520">
        <f t="shared" si="39"/>
        <v>-3.2075471698113205</v>
      </c>
      <c r="BB28" s="1521">
        <f t="array" ref="BB28">IF(($E28="да"),IF($AX28=0,"нет",$AV28/$AX28*100),"нет")</f>
        <v>96.79245283018868</v>
      </c>
      <c r="BC28" s="1522">
        <f t="shared" si="1"/>
        <v>51.300000000000004</v>
      </c>
      <c r="BD28" s="1522" t="e">
        <f t="array" ref="BD28">IF(($E28="да"),IF($AZ28&gt;$AZ$17,$AZ28/$AZ$16*BD$16,нет),нет)</f>
        <v>#DIV/0!</v>
      </c>
      <c r="BE28" s="938">
        <f>'ИДО(Финансы)'!$R28</f>
        <v>0</v>
      </c>
      <c r="BF28" s="939">
        <f>'ИДО(Финансы)'!D28</f>
        <v>0</v>
      </c>
      <c r="BG28" s="510" t="str">
        <f t="shared" si="40"/>
        <v>нет</v>
      </c>
      <c r="BH28" s="1519" t="str">
        <f t="shared" si="41"/>
        <v>нет</v>
      </c>
      <c r="BI28" s="1523">
        <f t="array" ref="BI28">IF(($E28="да")+($F28="да"),IF((BF28+AS28)=0,"нет",(AR28+BE28)/(BF28+AS28)*100),"нет")</f>
        <v>51.300000000000004</v>
      </c>
      <c r="BJ28" s="829">
        <f>Кадры!$I28</f>
        <v>0</v>
      </c>
      <c r="BK28" s="940">
        <f>Кадры!$O28</f>
        <v>0</v>
      </c>
      <c r="BL28" s="941">
        <f>Кадры!$K28</f>
        <v>0</v>
      </c>
      <c r="BM28" s="821" t="str">
        <f t="array" ref="BM28">IF(BL28=0,"нет",BK28/BL28*100)</f>
        <v>нет</v>
      </c>
      <c r="BN28" s="923">
        <f>Кадры!E28</f>
        <v>0</v>
      </c>
      <c r="BO28" s="941">
        <f>Кадры!$K28</f>
        <v>0</v>
      </c>
      <c r="BP28" s="343" t="str">
        <f t="shared" si="31"/>
        <v>нет</v>
      </c>
      <c r="BQ28" s="342" t="e">
        <f t="shared" si="32"/>
        <v>#DIV/0!</v>
      </c>
      <c r="BR28" s="940">
        <f>Кадры!$L28</f>
        <v>0</v>
      </c>
      <c r="BS28" s="1544">
        <f>Кадры!$J28</f>
        <v>0</v>
      </c>
      <c r="BT28" s="343">
        <f t="shared" si="33"/>
        <v>0</v>
      </c>
      <c r="BU28" s="817">
        <f t="shared" si="34"/>
        <v>100</v>
      </c>
      <c r="BV28" s="923">
        <f>Кадры!$D28</f>
        <v>0</v>
      </c>
      <c r="BW28" s="919">
        <f>Кадры!$F28</f>
        <v>0</v>
      </c>
      <c r="BX28" s="817" t="e">
        <f t="shared" si="35"/>
        <v>#DIV/0!</v>
      </c>
      <c r="BY28" s="940">
        <f>Кадры!$P28</f>
        <v>0</v>
      </c>
      <c r="BZ28" s="941">
        <f>Кадры!$L28</f>
        <v>0</v>
      </c>
      <c r="CA28" s="342" t="str">
        <f t="shared" si="42"/>
        <v>нет</v>
      </c>
      <c r="CB28" s="215"/>
      <c r="CC28" s="986" t="s">
        <v>335</v>
      </c>
      <c r="CD28" s="268"/>
      <c r="CE28" s="961"/>
      <c r="CF28" s="215"/>
      <c r="CG28" s="335" t="e">
        <f t="array" ref="CG28">SUM(IF($F28:$CA28=нет,0,IF($F28:$CA28&gt;=$F$16:$CA$16,$F$16:$CA$16,IF($F28:$CA28&lt;$F$17:$CA$17,0,$F28:$CA28)))*$F$11:$CA$11*($F$104:$CA$104=CG$4)/$F$16:$CA$16*($F$106:$CA$115*($B$106:$B$115=$B28)*($A$106:$A$115=$A$104)))</f>
        <v>#DIV/0!</v>
      </c>
      <c r="CH28" s="335" t="e">
        <f t="array" ref="CH28">SUM(IF($F28:$CA28=нет,0,IF($F28:$CA28&gt;=$F$16:$CA$16,$F$16:$CA$16,IF($F28:$CA28&lt;$F$17:$CA$17,0,$F28:$CA28)))*$F$11:$CA$11*($F$104:$CA$104=CH$4)/$F$16:$CA$16*($F$106:$CA$115*($B$106:$B$115=$B28)*($A$106:$A$115=$A$104)))</f>
        <v>#DIV/0!</v>
      </c>
      <c r="CI28" s="335" t="e">
        <f t="array" ref="CI28">SUM(IF($F28:$CA28=нет,0,IF($F28:$CA28&gt;=$F$16:$CA$16,$F$16:$CA$16,IF($F28:$CA28&lt;$F$17:$CA$17,0,$F28:$CA28)))*$F$11:$CA$11*($F$105:$CA$105=CI$4)/$F$16:$CA$16*($F$106:$CA$115*($B$106:$B$115=$B28)*($A$106:$A$115=$A$104)))</f>
        <v>#DIV/0!</v>
      </c>
      <c r="CJ28" s="1072" t="e">
        <f>'НУ(ВИД3)'!D29</f>
        <v>#DIV/0!</v>
      </c>
      <c r="CK28" s="335" t="e">
        <f t="array" ref="CK28">SUM(IF($F28:$CA28=нет,0,IF($F28:$CA28&gt;=$F$16:$CA$16,$F$16:$CA$16,IF($F28:$CA28&lt;$F$17:$CA$17,0,$F28:$CA28)))*$F$11:$CA$11*($F$104:$CA$104=CK$4)/$F$16:$CA$16*($F$106:$CA$115*($B$106:$B$115=$B28)*($A$106:$A$115=$A$104)))</f>
        <v>#DIV/0!</v>
      </c>
      <c r="CL28" s="335" t="e">
        <f t="array" ref="CL28">SUM(IF($F28:$CA28=нет,0,IF($F28:$CA28&gt;=$F$16:$CA$16,$F$16:$CA$16,IF($F28:$CA28&lt;$F$17:$CA$17,0,$F28:$CA28)))*$F$11:$CA$11*($F$104:$CA$104=CL$4)/$F$16:$CA$16*($F$106:$CA$115*($B$106:$B$115=$B28)*($A$106:$A$115=$A$104)))</f>
        <v>#DIV/0!</v>
      </c>
      <c r="CM28" s="335" t="e">
        <f t="array" ref="CM28">SUM(IF($F28:$CA28=нет,0,IF($F28:$CA28&gt;=$F$16:$CA$16,$F$16:$CA$16,IF($F28:$CA28&lt;$F$17:$CA$17,0,$F28:$CA28)))*$F$11:$CA$11*($F$104:$CA$104=CM$4)/$F$16:$CA$16*($F$106:$CA$115*($B$106:$B$115=$B28)*($A$106:$A$115=$A$104)))</f>
        <v>#DIV/0!</v>
      </c>
      <c r="CN28" s="215"/>
      <c r="CO28" s="1000" t="e">
        <f t="array" ref="CO28">SUM(IF($F28:$CA28=нет,0,100)*$F$11:$CA$11*($F$104:$CA$104=CO$4)/100*($F$106:$CA$115*($B$106:$B$115=$B28)*($A$106:$A$115=$A$104)))</f>
        <v>#DIV/0!</v>
      </c>
      <c r="CP28" s="1000" t="e">
        <f t="array" ref="CP28">SUM(IF($F28:$CA28=нет,0,100)*$F$11:$CA$11*($F$104:$CA$104=CP$4)/100*($F$106:$CA$115*($B$106:$B$115=$B28)*($A$106:$A$115=$A$104)))</f>
        <v>#DIV/0!</v>
      </c>
      <c r="CQ28" s="1000" t="e">
        <f t="array" ref="CQ28">SUM(IF($F28:$CA28=нет,0,100)*$F$11:$CA$11*($F$105:$CA$105=CQ$4)/100*($F$106:$CA$115*($B$106:$B$115=$B28)*($A$106:$A$115=$A$104)))</f>
        <v>#DIV/0!</v>
      </c>
      <c r="CR28" s="1057">
        <f>'НУ(ВИД3)'!E29</f>
        <v>21</v>
      </c>
      <c r="CS28" s="1000" t="e">
        <f t="array" ref="CS28">SUM(IF($F28:$CA28=нет,0,100)*$F$11:$CA$11*($F$104:$CA$104=CS$4)/100*($F$106:$CA$115*($B$106:$B$115=$B28)*($A$106:$A$115=$A$104)))</f>
        <v>#DIV/0!</v>
      </c>
      <c r="CT28" s="1000" t="e">
        <f t="array" ref="CT28">SUM(IF($F28:$CA28=нет,0,100)*$F$11:$CA$11*($F$104:$CA$104=CT$4)/100*($F$106:$CA$115*($B$106:$B$115=$B28)*($A$106:$A$115=$A$104)))</f>
        <v>#DIV/0!</v>
      </c>
      <c r="CU28" s="1000" t="e">
        <f t="array" ref="CU28">SUM(IF($F28:$CA28=нет,0,100)*$F$11:$CA$11*($F$104:$CA$104=CU$4)/100*($F$106:$CA$115*($B$106:$B$115=$B28)*($A$106:$A$115=$A$104)))</f>
        <v>#DIV/0!</v>
      </c>
      <c r="CV28" s="215"/>
      <c r="CW28" s="333" t="e">
        <f>SUM(CG28:CH28,CJ28:CM28,'Реестр ППС'!#REF!,' "Вуз зож"'!S28)</f>
        <v>#REF!</v>
      </c>
      <c r="CX28" s="333" t="e">
        <f>SUM(CO28:CP28,CR28:CU28,'Реестр ППС'!#REF!,' "Вуз зож"'!T28)</f>
        <v>#REF!</v>
      </c>
      <c r="CY28" s="332" t="e">
        <f t="shared" si="10"/>
        <v>#REF!</v>
      </c>
      <c r="CZ28" s="215"/>
      <c r="DA28" s="336" t="e">
        <f>SUM(CI28:CK28,CM28,'Реестр ППС'!#REF!,' "Вуз зож"'!S28)</f>
        <v>#REF!</v>
      </c>
      <c r="DB28" s="336" t="e">
        <f>SUM(CQ28:CS28,CU28,'Реестр ППС'!#REF!,' "Вуз зож"'!T28)</f>
        <v>#REF!</v>
      </c>
      <c r="DC28" s="332" t="e">
        <f t="shared" si="37"/>
        <v>#REF!</v>
      </c>
      <c r="DD28" s="961"/>
      <c r="DE28" s="337" t="e">
        <f t="shared" si="11"/>
        <v>#DIV/0!</v>
      </c>
      <c r="DF28" s="337" t="e">
        <f t="shared" si="12"/>
        <v>#DIV/0!</v>
      </c>
      <c r="DG28" s="337" t="e">
        <f t="shared" si="13"/>
        <v>#DIV/0!</v>
      </c>
      <c r="DH28" s="337" t="e">
        <f t="shared" si="14"/>
        <v>#DIV/0!</v>
      </c>
      <c r="DI28" s="337" t="e">
        <f t="shared" si="15"/>
        <v>#DIV/0!</v>
      </c>
      <c r="DJ28" s="337" t="e">
        <f t="shared" si="16"/>
        <v>#DIV/0!</v>
      </c>
      <c r="DK28" s="337" t="e">
        <f t="shared" si="17"/>
        <v>#DIV/0!</v>
      </c>
      <c r="DL28" s="334" t="str">
        <f t="shared" si="4"/>
        <v>Оториноларингологии с курсом ДПО</v>
      </c>
      <c r="DM28" s="215" t="str">
        <f t="shared" si="18"/>
        <v>КМЕДИЦИНЫ</v>
      </c>
      <c r="DN28" s="1505" t="e">
        <f t="shared" si="38"/>
        <v>#REF!</v>
      </c>
      <c r="DO28" s="338"/>
      <c r="DP28" s="338"/>
      <c r="DQ28" s="338"/>
      <c r="DR28" s="318"/>
      <c r="DS28" s="318"/>
      <c r="DT28" s="318"/>
      <c r="DU28" s="318"/>
      <c r="DV28" s="318"/>
      <c r="DW28" s="318"/>
      <c r="DX28" s="318"/>
    </row>
    <row r="29" spans="1:128" s="215" customFormat="1" ht="15.75" thickBot="1" x14ac:dyDescent="0.25">
      <c r="A29" s="550" t="s">
        <v>375</v>
      </c>
      <c r="B29" s="340" t="s">
        <v>7</v>
      </c>
      <c r="C29" s="482">
        <f>Кадры!C29</f>
        <v>0</v>
      </c>
      <c r="D29" s="2076" t="str">
        <f t="shared" si="19"/>
        <v>КМЕДИЦИНЫ</v>
      </c>
      <c r="E29" s="2074" t="s">
        <v>16</v>
      </c>
      <c r="F29" s="859" t="s">
        <v>31</v>
      </c>
      <c r="G29" s="904"/>
      <c r="H29" s="817">
        <f t="shared" si="5"/>
        <v>100</v>
      </c>
      <c r="I29" s="1748"/>
      <c r="J29" s="817">
        <f t="shared" si="6"/>
        <v>100</v>
      </c>
      <c r="K29" s="1573">
        <f>МероприятияВуза!$AR29+МероприятияВуза!$AQ29</f>
        <v>0</v>
      </c>
      <c r="L29" s="919">
        <f>МероприятияВуза!$G29+МероприятияВуза!$H29</f>
        <v>0</v>
      </c>
      <c r="M29" s="925" t="str">
        <f t="shared" si="20"/>
        <v>нет</v>
      </c>
      <c r="N29" s="923">
        <f>МероприятияВуза!$AS29</f>
        <v>0</v>
      </c>
      <c r="O29" s="919">
        <f>МероприятияВуза!$I29+МероприятияВуза!$J29</f>
        <v>0</v>
      </c>
      <c r="P29" s="925" t="str">
        <f t="shared" si="21"/>
        <v>нет</v>
      </c>
      <c r="Q29" s="1838"/>
      <c r="R29" s="817">
        <f t="shared" si="22"/>
        <v>100</v>
      </c>
      <c r="S29" s="1847"/>
      <c r="T29" s="1848"/>
      <c r="U29" s="844" t="str">
        <f t="shared" si="23"/>
        <v>нет</v>
      </c>
      <c r="V29" s="904"/>
      <c r="W29" s="909"/>
      <c r="X29" s="844" t="str">
        <f t="shared" si="7"/>
        <v>нет</v>
      </c>
      <c r="Y29" s="1857"/>
      <c r="Z29" s="1858"/>
      <c r="AA29" s="844" t="str">
        <f t="shared" si="8"/>
        <v>нет</v>
      </c>
      <c r="AB29" s="1748"/>
      <c r="AC29" s="909"/>
      <c r="AD29" s="912" t="str">
        <f t="shared" si="24"/>
        <v>нет</v>
      </c>
      <c r="AE29" s="947"/>
      <c r="AF29" s="949"/>
      <c r="AG29" s="844" t="str">
        <f t="shared" si="9"/>
        <v>нет</v>
      </c>
      <c r="AH29" s="951"/>
      <c r="AI29" s="949"/>
      <c r="AJ29" s="844" t="str">
        <f t="shared" si="25"/>
        <v>нет</v>
      </c>
      <c r="AK29" s="935">
        <f>ПрофРабота!$Q29</f>
        <v>0</v>
      </c>
      <c r="AL29" s="485">
        <f>ПрофРабота!$R29</f>
        <v>0</v>
      </c>
      <c r="AM29" s="485">
        <f>ПрофРабота!$S29</f>
        <v>0</v>
      </c>
      <c r="AN29" s="817">
        <f>ПрофРабота!$C29</f>
        <v>0</v>
      </c>
      <c r="AO29" s="923">
        <f>МероприятияВуза!$AT29</f>
        <v>0</v>
      </c>
      <c r="AP29" s="919">
        <f>МероприятияВуза!$K29</f>
        <v>0</v>
      </c>
      <c r="AQ29" s="817" t="str">
        <f t="shared" si="26"/>
        <v>нет</v>
      </c>
      <c r="AR29" s="938">
        <f>'ДПО(Финансы)'!$R29</f>
        <v>130200</v>
      </c>
      <c r="AS29" s="939">
        <f>'ДПО(Финансы)'!$D29</f>
        <v>60000</v>
      </c>
      <c r="AT29" s="510" t="e">
        <f t="shared" si="27"/>
        <v>#DIV/0!</v>
      </c>
      <c r="AU29" s="1519">
        <f t="shared" si="28"/>
        <v>217</v>
      </c>
      <c r="AV29" s="938">
        <f>'ДПО(Финансы)'!$R29</f>
        <v>130200</v>
      </c>
      <c r="AW29" s="939">
        <f>'ИДО(Финансы)'!$R29</f>
        <v>0</v>
      </c>
      <c r="AX29" s="939">
        <f>'ДПО(Финансы)'!$S29</f>
        <v>319500</v>
      </c>
      <c r="AY29" s="939">
        <f>'ИДО(Финансы)'!$S29</f>
        <v>0</v>
      </c>
      <c r="AZ29" s="839" t="e">
        <f t="shared" si="0"/>
        <v>#DIV/0!</v>
      </c>
      <c r="BA29" s="1520">
        <f t="shared" si="39"/>
        <v>-59.248826291079816</v>
      </c>
      <c r="BB29" s="1521">
        <f t="array" ref="BB29">IF(($E29="да"),IF($AX29=0,"нет",$AV29/$AX29*100),"нет")</f>
        <v>40.751173708920184</v>
      </c>
      <c r="BC29" s="1522">
        <f t="shared" si="1"/>
        <v>217</v>
      </c>
      <c r="BD29" s="1522" t="e">
        <f t="array" ref="BD29">IF(($E29="да"),IF($AZ29&gt;$AZ$17,$AZ29/$AZ$16*BD$16,нет),нет)</f>
        <v>#DIV/0!</v>
      </c>
      <c r="BE29" s="938">
        <f>'ИДО(Финансы)'!$R29</f>
        <v>0</v>
      </c>
      <c r="BF29" s="939">
        <f>'ИДО(Финансы)'!D29</f>
        <v>0</v>
      </c>
      <c r="BG29" s="510" t="str">
        <f t="shared" si="40"/>
        <v>нет</v>
      </c>
      <c r="BH29" s="1519" t="str">
        <f t="shared" si="41"/>
        <v>нет</v>
      </c>
      <c r="BI29" s="1523">
        <f t="array" ref="BI29">IF(($E29="да")+($F29="да"),IF((BF29+AS29)=0,"нет",(AR29+BE29)/(BF29+AS29)*100),"нет")</f>
        <v>217</v>
      </c>
      <c r="BJ29" s="829">
        <f>Кадры!$I29</f>
        <v>0</v>
      </c>
      <c r="BK29" s="940">
        <f>Кадры!$O29</f>
        <v>0</v>
      </c>
      <c r="BL29" s="941">
        <f>Кадры!$K29</f>
        <v>0</v>
      </c>
      <c r="BM29" s="821" t="str">
        <f t="array" ref="BM29">IF(BL29=0,"нет",BK29/BL29*100)</f>
        <v>нет</v>
      </c>
      <c r="BN29" s="923">
        <f>Кадры!E29</f>
        <v>0</v>
      </c>
      <c r="BO29" s="941">
        <f>Кадры!$K29</f>
        <v>0</v>
      </c>
      <c r="BP29" s="343" t="str">
        <f t="shared" si="31"/>
        <v>нет</v>
      </c>
      <c r="BQ29" s="342" t="e">
        <f t="shared" si="32"/>
        <v>#DIV/0!</v>
      </c>
      <c r="BR29" s="940">
        <f>Кадры!$L29</f>
        <v>0</v>
      </c>
      <c r="BS29" s="1544">
        <f>Кадры!$J29</f>
        <v>0</v>
      </c>
      <c r="BT29" s="343">
        <f t="shared" si="33"/>
        <v>0</v>
      </c>
      <c r="BU29" s="817">
        <f t="shared" si="34"/>
        <v>100</v>
      </c>
      <c r="BV29" s="923">
        <f>Кадры!$D29</f>
        <v>0</v>
      </c>
      <c r="BW29" s="919">
        <f>Кадры!$F29</f>
        <v>0</v>
      </c>
      <c r="BX29" s="817" t="e">
        <f t="shared" si="35"/>
        <v>#DIV/0!</v>
      </c>
      <c r="BY29" s="940">
        <f>Кадры!$P29</f>
        <v>0</v>
      </c>
      <c r="BZ29" s="941">
        <f>Кадры!$L29</f>
        <v>0</v>
      </c>
      <c r="CA29" s="342" t="str">
        <f t="shared" si="36"/>
        <v>нет</v>
      </c>
      <c r="CC29" s="986" t="s">
        <v>335</v>
      </c>
      <c r="CD29" s="268"/>
      <c r="CE29" s="961"/>
      <c r="CG29" s="335" t="e">
        <f t="array" ref="CG29">SUM(IF($F29:$CA29=нет,0,IF($F29:$CA29&gt;=$F$16:$CA$16,$F$16:$CA$16,IF($F29:$CA29&lt;$F$17:$CA$17,0,$F29:$CA29)))*$F$11:$CA$11*($F$104:$CA$104=CG$4)/$F$16:$CA$16*($F$106:$CA$115*($B$106:$B$115=$B29)*($A$106:$A$115=$A$104)))</f>
        <v>#DIV/0!</v>
      </c>
      <c r="CH29" s="335" t="e">
        <f t="array" ref="CH29">SUM(IF($F29:$CA29=нет,0,IF($F29:$CA29&gt;=$F$16:$CA$16,$F$16:$CA$16,IF($F29:$CA29&lt;$F$17:$CA$17,0,$F29:$CA29)))*$F$11:$CA$11*($F$104:$CA$104=CH$4)/$F$16:$CA$16*($F$106:$CA$115*($B$106:$B$115=$B29)*($A$106:$A$115=$A$104)))</f>
        <v>#DIV/0!</v>
      </c>
      <c r="CI29" s="335" t="e">
        <f t="array" ref="CI29">SUM(IF($F29:$CA29=нет,0,IF($F29:$CA29&gt;=$F$16:$CA$16,$F$16:$CA$16,IF($F29:$CA29&lt;$F$17:$CA$17,0,$F29:$CA29)))*$F$11:$CA$11*($F$105:$CA$105=CI$4)/$F$16:$CA$16*($F$106:$CA$115*($B$106:$B$115=$B29)*($A$106:$A$115=$A$104)))</f>
        <v>#DIV/0!</v>
      </c>
      <c r="CJ29" s="1072" t="e">
        <f>'НУ(ВИД3)'!D30</f>
        <v>#DIV/0!</v>
      </c>
      <c r="CK29" s="335" t="e">
        <f t="array" ref="CK29">SUM(IF($F29:$CA29=нет,0,IF($F29:$CA29&gt;=$F$16:$CA$16,$F$16:$CA$16,IF($F29:$CA29&lt;$F$17:$CA$17,0,$F29:$CA29)))*$F$11:$CA$11*($F$104:$CA$104=CK$4)/$F$16:$CA$16*($F$106:$CA$115*($B$106:$B$115=$B29)*($A$106:$A$115=$A$104)))</f>
        <v>#DIV/0!</v>
      </c>
      <c r="CL29" s="335" t="e">
        <f t="array" ref="CL29">SUM(IF($F29:$CA29=нет,0,IF($F29:$CA29&gt;=$F$16:$CA$16,$F$16:$CA$16,IF($F29:$CA29&lt;$F$17:$CA$17,0,$F29:$CA29)))*$F$11:$CA$11*($F$104:$CA$104=CL$4)/$F$16:$CA$16*($F$106:$CA$115*($B$106:$B$115=$B29)*($A$106:$A$115=$A$104)))</f>
        <v>#DIV/0!</v>
      </c>
      <c r="CM29" s="335" t="e">
        <f t="array" ref="CM29">SUM(IF($F29:$CA29=нет,0,IF($F29:$CA29&gt;=$F$16:$CA$16,$F$16:$CA$16,IF($F29:$CA29&lt;$F$17:$CA$17,0,$F29:$CA29)))*$F$11:$CA$11*($F$104:$CA$104=CM$4)/$F$16:$CA$16*($F$106:$CA$115*($B$106:$B$115=$B29)*($A$106:$A$115=$A$104)))</f>
        <v>#DIV/0!</v>
      </c>
      <c r="CO29" s="1000" t="e">
        <f t="array" ref="CO29">SUM(IF($F29:$CA29=нет,0,100)*$F$11:$CA$11*($F$104:$CA$104=CO$4)/100*($F$106:$CA$115*($B$106:$B$115=$B29)*($A$106:$A$115=$A$104)))</f>
        <v>#DIV/0!</v>
      </c>
      <c r="CP29" s="1000" t="e">
        <f t="array" ref="CP29">SUM(IF($F29:$CA29=нет,0,100)*$F$11:$CA$11*($F$104:$CA$104=CP$4)/100*($F$106:$CA$115*($B$106:$B$115=$B29)*($A$106:$A$115=$A$104)))</f>
        <v>#DIV/0!</v>
      </c>
      <c r="CQ29" s="1000" t="e">
        <f t="array" ref="CQ29">SUM(IF($F29:$CA29=нет,0,100)*$F$11:$CA$11*($F$105:$CA$105=CQ$4)/100*($F$106:$CA$115*($B$106:$B$115=$B29)*($A$106:$A$115=$A$104)))</f>
        <v>#DIV/0!</v>
      </c>
      <c r="CR29" s="1057">
        <f>'НУ(ВИД3)'!E30</f>
        <v>21</v>
      </c>
      <c r="CS29" s="1000" t="e">
        <f t="array" ref="CS29">SUM(IF($F29:$CA29=нет,0,100)*$F$11:$CA$11*($F$104:$CA$104=CS$4)/100*($F$106:$CA$115*($B$106:$B$115=$B29)*($A$106:$A$115=$A$104)))</f>
        <v>#DIV/0!</v>
      </c>
      <c r="CT29" s="1000" t="e">
        <f t="array" ref="CT29">SUM(IF($F29:$CA29=нет,0,100)*$F$11:$CA$11*($F$104:$CA$104=CT$4)/100*($F$106:$CA$115*($B$106:$B$115=$B29)*($A$106:$A$115=$A$104)))</f>
        <v>#DIV/0!</v>
      </c>
      <c r="CU29" s="1000" t="e">
        <f t="array" ref="CU29">SUM(IF($F29:$CA29=нет,0,100)*$F$11:$CA$11*($F$104:$CA$104=CU$4)/100*($F$106:$CA$115*($B$106:$B$115=$B29)*($A$106:$A$115=$A$104)))</f>
        <v>#DIV/0!</v>
      </c>
      <c r="CW29" s="333" t="e">
        <f>SUM(CG29:CH29,CJ29:CM29,'Реестр ППС'!#REF!,' "Вуз зож"'!S29)</f>
        <v>#REF!</v>
      </c>
      <c r="CX29" s="333" t="e">
        <f>SUM(CO29:CP29,CR29:CU29,'Реестр ППС'!#REF!,' "Вуз зож"'!T29)</f>
        <v>#REF!</v>
      </c>
      <c r="CY29" s="332" t="e">
        <f t="shared" si="10"/>
        <v>#REF!</v>
      </c>
      <c r="DA29" s="336" t="e">
        <f>SUM(CI29:CK29,CM29,'Реестр ППС'!#REF!,' "Вуз зож"'!S29)</f>
        <v>#REF!</v>
      </c>
      <c r="DB29" s="336" t="e">
        <f>SUM(CQ29:CS29,CU29,'Реестр ППС'!#REF!,' "Вуз зож"'!T29)</f>
        <v>#REF!</v>
      </c>
      <c r="DC29" s="332" t="e">
        <f t="shared" si="37"/>
        <v>#REF!</v>
      </c>
      <c r="DD29" s="961"/>
      <c r="DE29" s="337" t="e">
        <f t="shared" si="11"/>
        <v>#DIV/0!</v>
      </c>
      <c r="DF29" s="337" t="e">
        <f t="shared" si="12"/>
        <v>#DIV/0!</v>
      </c>
      <c r="DG29" s="337" t="e">
        <f t="shared" si="13"/>
        <v>#DIV/0!</v>
      </c>
      <c r="DH29" s="337" t="e">
        <f t="shared" si="14"/>
        <v>#DIV/0!</v>
      </c>
      <c r="DI29" s="337" t="e">
        <f t="shared" si="15"/>
        <v>#DIV/0!</v>
      </c>
      <c r="DJ29" s="337" t="e">
        <f t="shared" si="16"/>
        <v>#DIV/0!</v>
      </c>
      <c r="DK29" s="337" t="e">
        <f t="shared" si="17"/>
        <v>#DIV/0!</v>
      </c>
      <c r="DL29" s="334" t="str">
        <f t="shared" si="4"/>
        <v>Поликлинической терапии</v>
      </c>
      <c r="DM29" s="215" t="str">
        <f t="shared" si="18"/>
        <v>КМЕДИЦИНЫ</v>
      </c>
      <c r="DN29" s="1505" t="e">
        <f t="shared" si="38"/>
        <v>#REF!</v>
      </c>
      <c r="DO29" s="338"/>
      <c r="DP29" s="338"/>
      <c r="DQ29" s="338"/>
      <c r="DR29" s="318"/>
      <c r="DS29" s="318"/>
      <c r="DT29" s="318"/>
      <c r="DU29" s="318"/>
      <c r="DV29" s="318"/>
      <c r="DW29" s="318"/>
      <c r="DX29" s="318"/>
    </row>
    <row r="30" spans="1:128" s="215" customFormat="1" ht="15.75" thickBot="1" x14ac:dyDescent="0.25">
      <c r="A30" s="550" t="s">
        <v>96</v>
      </c>
      <c r="B30" s="340" t="s">
        <v>7</v>
      </c>
      <c r="C30" s="482">
        <f>Кадры!C30</f>
        <v>0</v>
      </c>
      <c r="D30" s="2076" t="str">
        <f t="shared" si="19"/>
        <v>КМЕДИЦИНЫ</v>
      </c>
      <c r="E30" s="2074" t="s">
        <v>16</v>
      </c>
      <c r="F30" s="341" t="s">
        <v>31</v>
      </c>
      <c r="G30" s="904"/>
      <c r="H30" s="817">
        <f t="shared" si="5"/>
        <v>100</v>
      </c>
      <c r="I30" s="1748"/>
      <c r="J30" s="860">
        <f t="shared" si="6"/>
        <v>100</v>
      </c>
      <c r="K30" s="920">
        <f>МероприятияВуза!$AR30+МероприятияВуза!$AQ30</f>
        <v>0</v>
      </c>
      <c r="L30" s="919">
        <f>МероприятияВуза!$G30+МероприятияВуза!$H30</f>
        <v>0</v>
      </c>
      <c r="M30" s="925" t="str">
        <f t="shared" si="20"/>
        <v>нет</v>
      </c>
      <c r="N30" s="923">
        <f>МероприятияВуза!$AS30</f>
        <v>0</v>
      </c>
      <c r="O30" s="919">
        <f>МероприятияВуза!$I30+МероприятияВуза!$J30</f>
        <v>0</v>
      </c>
      <c r="P30" s="925" t="str">
        <f t="shared" si="21"/>
        <v>нет</v>
      </c>
      <c r="Q30" s="1838"/>
      <c r="R30" s="817">
        <f t="shared" si="22"/>
        <v>100</v>
      </c>
      <c r="S30" s="1847"/>
      <c r="T30" s="1848"/>
      <c r="U30" s="844" t="str">
        <f t="shared" si="23"/>
        <v>нет</v>
      </c>
      <c r="V30" s="904"/>
      <c r="W30" s="909"/>
      <c r="X30" s="844" t="str">
        <f t="shared" si="7"/>
        <v>нет</v>
      </c>
      <c r="Y30" s="1857"/>
      <c r="Z30" s="1858"/>
      <c r="AA30" s="844" t="str">
        <f t="shared" si="8"/>
        <v>нет</v>
      </c>
      <c r="AB30" s="1748"/>
      <c r="AC30" s="909"/>
      <c r="AD30" s="912" t="str">
        <f t="shared" si="24"/>
        <v>нет</v>
      </c>
      <c r="AE30" s="947"/>
      <c r="AF30" s="949"/>
      <c r="AG30" s="844" t="str">
        <f t="shared" si="9"/>
        <v>нет</v>
      </c>
      <c r="AH30" s="951"/>
      <c r="AI30" s="949"/>
      <c r="AJ30" s="844" t="str">
        <f t="shared" si="25"/>
        <v>нет</v>
      </c>
      <c r="AK30" s="935">
        <f>ПрофРабота!$Q30</f>
        <v>0</v>
      </c>
      <c r="AL30" s="485">
        <f>ПрофРабота!$R30</f>
        <v>0</v>
      </c>
      <c r="AM30" s="485">
        <f>ПрофРабота!$S30</f>
        <v>0</v>
      </c>
      <c r="AN30" s="817">
        <f>ПрофРабота!$C30</f>
        <v>0</v>
      </c>
      <c r="AO30" s="923">
        <f>МероприятияВуза!$AT30</f>
        <v>0</v>
      </c>
      <c r="AP30" s="919">
        <f>МероприятияВуза!$K30</f>
        <v>0</v>
      </c>
      <c r="AQ30" s="817" t="str">
        <f t="shared" si="26"/>
        <v>нет</v>
      </c>
      <c r="AR30" s="938">
        <f>'ДПО(Финансы)'!$R30</f>
        <v>141900</v>
      </c>
      <c r="AS30" s="939">
        <f>'ДПО(Финансы)'!$D30</f>
        <v>40000</v>
      </c>
      <c r="AT30" s="510" t="e">
        <f t="shared" si="27"/>
        <v>#DIV/0!</v>
      </c>
      <c r="AU30" s="1519">
        <f t="shared" si="28"/>
        <v>354.75</v>
      </c>
      <c r="AV30" s="938">
        <f>'ДПО(Финансы)'!$R30</f>
        <v>141900</v>
      </c>
      <c r="AW30" s="939">
        <f>'ИДО(Финансы)'!$R30</f>
        <v>0</v>
      </c>
      <c r="AX30" s="939">
        <f>'ДПО(Финансы)'!$S30</f>
        <v>32900</v>
      </c>
      <c r="AY30" s="939">
        <f>'ИДО(Финансы)'!$S30</f>
        <v>0</v>
      </c>
      <c r="AZ30" s="839" t="e">
        <f t="shared" si="0"/>
        <v>#DIV/0!</v>
      </c>
      <c r="BA30" s="1520">
        <f t="array" ref="BA30">IF(($E30="да"),IF($AX30=0,"нет",$AV30/$AX30*100-100),"нет")</f>
        <v>331.30699088145894</v>
      </c>
      <c r="BB30" s="1521">
        <f t="array" ref="BB30">IF(($E30="да"),IF($AX30=0,"нет",$AV30/$AX30*100),"нет")</f>
        <v>431.30699088145894</v>
      </c>
      <c r="BC30" s="1522">
        <f t="shared" si="1"/>
        <v>354.75</v>
      </c>
      <c r="BD30" s="1522" t="e">
        <f t="array" ref="BD30">IF(($E30="да"),IF($AZ30&gt;$AZ$17,$AZ30/$AZ$16*BD$16,нет),нет)</f>
        <v>#DIV/0!</v>
      </c>
      <c r="BE30" s="938">
        <f>'ИДО(Финансы)'!$R30</f>
        <v>0</v>
      </c>
      <c r="BF30" s="939">
        <f>'ИДО(Финансы)'!D30</f>
        <v>0</v>
      </c>
      <c r="BG30" s="510" t="str">
        <f t="shared" si="29"/>
        <v>нет</v>
      </c>
      <c r="BH30" s="1519" t="str">
        <f t="shared" si="30"/>
        <v>нет</v>
      </c>
      <c r="BI30" s="1523">
        <f t="array" ref="BI30">IF(($E30="да")+($F30="да"),IF((BF30+AS30)=0,"нет",(AR30+BE30)/(BF30+AS30)*100),"нет")</f>
        <v>354.75</v>
      </c>
      <c r="BJ30" s="829">
        <f>Кадры!$I30</f>
        <v>0</v>
      </c>
      <c r="BK30" s="940">
        <f>Кадры!$O30</f>
        <v>0</v>
      </c>
      <c r="BL30" s="941">
        <f>Кадры!$K30</f>
        <v>0</v>
      </c>
      <c r="BM30" s="821" t="str">
        <f t="array" ref="BM30">IF(BL30=0,"нет",BK30/BL30*100)</f>
        <v>нет</v>
      </c>
      <c r="BN30" s="923">
        <f>Кадры!E30</f>
        <v>0</v>
      </c>
      <c r="BO30" s="941">
        <f>Кадры!$K30</f>
        <v>0</v>
      </c>
      <c r="BP30" s="343" t="str">
        <f t="shared" si="31"/>
        <v>нет</v>
      </c>
      <c r="BQ30" s="342" t="e">
        <f t="shared" si="32"/>
        <v>#DIV/0!</v>
      </c>
      <c r="BR30" s="940">
        <f>Кадры!$L30</f>
        <v>0</v>
      </c>
      <c r="BS30" s="1544">
        <f>Кадры!$J30</f>
        <v>0</v>
      </c>
      <c r="BT30" s="343">
        <f t="shared" si="33"/>
        <v>0</v>
      </c>
      <c r="BU30" s="817">
        <f t="shared" si="34"/>
        <v>100</v>
      </c>
      <c r="BV30" s="923">
        <f>Кадры!$D30</f>
        <v>0</v>
      </c>
      <c r="BW30" s="919">
        <f>Кадры!$F30</f>
        <v>0</v>
      </c>
      <c r="BX30" s="817" t="e">
        <f t="shared" si="35"/>
        <v>#DIV/0!</v>
      </c>
      <c r="BY30" s="940">
        <f>Кадры!$P30</f>
        <v>0</v>
      </c>
      <c r="BZ30" s="941">
        <f>Кадры!$L30</f>
        <v>0</v>
      </c>
      <c r="CA30" s="342" t="str">
        <f t="shared" si="36"/>
        <v>нет</v>
      </c>
      <c r="CC30" s="986" t="s">
        <v>335</v>
      </c>
      <c r="CD30" s="268"/>
      <c r="CE30" s="961"/>
      <c r="CG30" s="335" t="e">
        <f t="array" ref="CG30">SUM(IF($F30:$CA30=нет,0,IF($F30:$CA30&gt;=$F$16:$CA$16,$F$16:$CA$16,IF($F30:$CA30&lt;$F$17:$CA$17,0,$F30:$CA30)))*$F$11:$CA$11*($F$104:$CA$104=CG$4)/$F$16:$CA$16*($F$106:$CA$115*($B$106:$B$115=$B30)*($A$106:$A$115=$A$104)))</f>
        <v>#DIV/0!</v>
      </c>
      <c r="CH30" s="335" t="e">
        <f t="array" ref="CH30">SUM(IF($F30:$CA30=нет,0,IF($F30:$CA30&gt;=$F$16:$CA$16,$F$16:$CA$16,IF($F30:$CA30&lt;$F$17:$CA$17,0,$F30:$CA30)))*$F$11:$CA$11*($F$104:$CA$104=CH$4)/$F$16:$CA$16*($F$106:$CA$115*($B$106:$B$115=$B30)*($A$106:$A$115=$A$104)))</f>
        <v>#DIV/0!</v>
      </c>
      <c r="CI30" s="335" t="e">
        <f t="array" ref="CI30">SUM(IF($F30:$CA30=нет,0,IF($F30:$CA30&gt;=$F$16:$CA$16,$F$16:$CA$16,IF($F30:$CA30&lt;$F$17:$CA$17,0,$F30:$CA30)))*$F$11:$CA$11*($F$105:$CA$105=CI$4)/$F$16:$CA$16*($F$106:$CA$115*($B$106:$B$115=$B30)*($A$106:$A$115=$A$104)))</f>
        <v>#DIV/0!</v>
      </c>
      <c r="CJ30" s="1072" t="e">
        <f>'НУ(ВИД3)'!D31</f>
        <v>#DIV/0!</v>
      </c>
      <c r="CK30" s="335" t="e">
        <f t="array" ref="CK30">SUM(IF($F30:$CA30=нет,0,IF($F30:$CA30&gt;=$F$16:$CA$16,$F$16:$CA$16,IF($F30:$CA30&lt;$F$17:$CA$17,0,$F30:$CA30)))*$F$11:$CA$11*($F$104:$CA$104=CK$4)/$F$16:$CA$16*($F$106:$CA$115*($B$106:$B$115=$B30)*($A$106:$A$115=$A$104)))</f>
        <v>#DIV/0!</v>
      </c>
      <c r="CL30" s="335" t="e">
        <f t="array" ref="CL30">SUM(IF($F30:$CA30=нет,0,IF($F30:$CA30&gt;=$F$16:$CA$16,$F$16:$CA$16,IF($F30:$CA30&lt;$F$17:$CA$17,0,$F30:$CA30)))*$F$11:$CA$11*($F$104:$CA$104=CL$4)/$F$16:$CA$16*($F$106:$CA$115*($B$106:$B$115=$B30)*($A$106:$A$115=$A$104)))</f>
        <v>#DIV/0!</v>
      </c>
      <c r="CM30" s="335" t="e">
        <f t="array" ref="CM30">SUM(IF($F30:$CA30=нет,0,IF($F30:$CA30&gt;=$F$16:$CA$16,$F$16:$CA$16,IF($F30:$CA30&lt;$F$17:$CA$17,0,$F30:$CA30)))*$F$11:$CA$11*($F$104:$CA$104=CM$4)/$F$16:$CA$16*($F$106:$CA$115*($B$106:$B$115=$B30)*($A$106:$A$115=$A$104)))</f>
        <v>#DIV/0!</v>
      </c>
      <c r="CO30" s="1000" t="e">
        <f t="array" ref="CO30">SUM(IF($F30:$CA30=нет,0,100)*$F$11:$CA$11*($F$104:$CA$104=CO$4)/100*($F$106:$CA$115*($B$106:$B$115=$B30)*($A$106:$A$115=$A$104)))</f>
        <v>#DIV/0!</v>
      </c>
      <c r="CP30" s="1000" t="e">
        <f t="array" ref="CP30">SUM(IF($F30:$CA30=нет,0,100)*$F$11:$CA$11*($F$104:$CA$104=CP$4)/100*($F$106:$CA$115*($B$106:$B$115=$B30)*($A$106:$A$115=$A$104)))</f>
        <v>#DIV/0!</v>
      </c>
      <c r="CQ30" s="1000" t="e">
        <f t="array" ref="CQ30">SUM(IF($F30:$CA30=нет,0,100)*$F$11:$CA$11*($F$105:$CA$105=CQ$4)/100*($F$106:$CA$115*($B$106:$B$115=$B30)*($A$106:$A$115=$A$104)))</f>
        <v>#DIV/0!</v>
      </c>
      <c r="CR30" s="1057">
        <f>'НУ(ВИД3)'!E31</f>
        <v>21</v>
      </c>
      <c r="CS30" s="1000" t="e">
        <f t="array" ref="CS30">SUM(IF($F30:$CA30=нет,0,100)*$F$11:$CA$11*($F$104:$CA$104=CS$4)/100*($F$106:$CA$115*($B$106:$B$115=$B30)*($A$106:$A$115=$A$104)))</f>
        <v>#DIV/0!</v>
      </c>
      <c r="CT30" s="1000" t="e">
        <f t="array" ref="CT30">SUM(IF($F30:$CA30=нет,0,100)*$F$11:$CA$11*($F$104:$CA$104=CT$4)/100*($F$106:$CA$115*($B$106:$B$115=$B30)*($A$106:$A$115=$A$104)))</f>
        <v>#DIV/0!</v>
      </c>
      <c r="CU30" s="1000" t="e">
        <f t="array" ref="CU30">SUM(IF($F30:$CA30=нет,0,100)*$F$11:$CA$11*($F$104:$CA$104=CU$4)/100*($F$106:$CA$115*($B$106:$B$115=$B30)*($A$106:$A$115=$A$104)))</f>
        <v>#DIV/0!</v>
      </c>
      <c r="CW30" s="333" t="e">
        <f>SUM(CG30:CH30,CJ30:CM30,'Реестр ППС'!#REF!,' "Вуз зож"'!S30)</f>
        <v>#REF!</v>
      </c>
      <c r="CX30" s="333" t="e">
        <f>SUM(CO30:CP30,CR30:CU30,'Реестр ППС'!#REF!,' "Вуз зож"'!T30)</f>
        <v>#REF!</v>
      </c>
      <c r="CY30" s="332" t="e">
        <f t="shared" si="10"/>
        <v>#REF!</v>
      </c>
      <c r="DA30" s="336" t="e">
        <f>SUM(CI30:CK30,CM30,'Реестр ППС'!#REF!,' "Вуз зож"'!S30)</f>
        <v>#REF!</v>
      </c>
      <c r="DB30" s="336" t="e">
        <f>SUM(CQ30:CS30,CU30,'Реестр ППС'!#REF!,' "Вуз зож"'!T30)</f>
        <v>#REF!</v>
      </c>
      <c r="DC30" s="332" t="e">
        <f t="shared" si="37"/>
        <v>#REF!</v>
      </c>
      <c r="DD30" s="961"/>
      <c r="DE30" s="337" t="e">
        <f t="shared" si="11"/>
        <v>#DIV/0!</v>
      </c>
      <c r="DF30" s="337" t="e">
        <f t="shared" si="12"/>
        <v>#DIV/0!</v>
      </c>
      <c r="DG30" s="337" t="e">
        <f t="shared" si="13"/>
        <v>#DIV/0!</v>
      </c>
      <c r="DH30" s="337" t="e">
        <f t="shared" si="14"/>
        <v>#DIV/0!</v>
      </c>
      <c r="DI30" s="337" t="e">
        <f t="shared" si="15"/>
        <v>#DIV/0!</v>
      </c>
      <c r="DJ30" s="337" t="e">
        <f t="shared" si="16"/>
        <v>#DIV/0!</v>
      </c>
      <c r="DK30" s="337" t="e">
        <f t="shared" si="17"/>
        <v>#DIV/0!</v>
      </c>
      <c r="DL30" s="334" t="str">
        <f t="shared" si="4"/>
        <v>Пропедевтики внутренних болезней имени профессора З.С. Баркагана</v>
      </c>
      <c r="DM30" s="215" t="str">
        <f t="shared" si="18"/>
        <v>КМЕДИЦИНЫ</v>
      </c>
      <c r="DN30" s="1505" t="e">
        <f t="shared" si="38"/>
        <v>#REF!</v>
      </c>
      <c r="DO30" s="338"/>
      <c r="DP30" s="338"/>
      <c r="DQ30" s="338"/>
      <c r="DR30" s="318"/>
      <c r="DS30" s="318"/>
      <c r="DT30" s="318"/>
      <c r="DU30" s="318"/>
      <c r="DV30" s="318"/>
      <c r="DW30" s="318"/>
      <c r="DX30" s="318"/>
    </row>
    <row r="31" spans="1:128" s="215" customFormat="1" ht="15.75" thickBot="1" x14ac:dyDescent="0.25">
      <c r="A31" s="550" t="s">
        <v>94</v>
      </c>
      <c r="B31" s="340" t="s">
        <v>7</v>
      </c>
      <c r="C31" s="482">
        <f>Кадры!C31</f>
        <v>0</v>
      </c>
      <c r="D31" s="2076" t="str">
        <f t="shared" si="19"/>
        <v>КМЕДИЦИНЫ</v>
      </c>
      <c r="E31" s="2074" t="s">
        <v>16</v>
      </c>
      <c r="F31" s="341" t="s">
        <v>31</v>
      </c>
      <c r="G31" s="909"/>
      <c r="H31" s="817">
        <f t="shared" si="5"/>
        <v>100</v>
      </c>
      <c r="I31" s="1748"/>
      <c r="J31" s="342">
        <f t="shared" si="6"/>
        <v>100</v>
      </c>
      <c r="K31" s="920">
        <f>МероприятияВуза!$AR31+МероприятияВуза!$AQ31</f>
        <v>0</v>
      </c>
      <c r="L31" s="919">
        <f>МероприятияВуза!$G31+МероприятияВуза!$H31</f>
        <v>0</v>
      </c>
      <c r="M31" s="925" t="str">
        <f t="shared" si="20"/>
        <v>нет</v>
      </c>
      <c r="N31" s="923">
        <f>МероприятияВуза!$AS31</f>
        <v>0</v>
      </c>
      <c r="O31" s="919">
        <f>МероприятияВуза!$I31+МероприятияВуза!$J31</f>
        <v>0</v>
      </c>
      <c r="P31" s="925" t="str">
        <f t="shared" si="21"/>
        <v>нет</v>
      </c>
      <c r="Q31" s="1838"/>
      <c r="R31" s="817">
        <f t="shared" si="22"/>
        <v>100</v>
      </c>
      <c r="S31" s="1847"/>
      <c r="T31" s="1848"/>
      <c r="U31" s="844" t="str">
        <f t="shared" si="23"/>
        <v>нет</v>
      </c>
      <c r="V31" s="904"/>
      <c r="W31" s="909"/>
      <c r="X31" s="844" t="str">
        <f t="shared" si="7"/>
        <v>нет</v>
      </c>
      <c r="Y31" s="1857"/>
      <c r="Z31" s="1858"/>
      <c r="AA31" s="844" t="str">
        <f t="shared" si="8"/>
        <v>нет</v>
      </c>
      <c r="AB31" s="1748"/>
      <c r="AC31" s="909"/>
      <c r="AD31" s="912" t="str">
        <f t="shared" si="24"/>
        <v>нет</v>
      </c>
      <c r="AE31" s="947"/>
      <c r="AF31" s="949"/>
      <c r="AG31" s="844" t="str">
        <f t="shared" si="9"/>
        <v>нет</v>
      </c>
      <c r="AH31" s="951"/>
      <c r="AI31" s="949"/>
      <c r="AJ31" s="844" t="str">
        <f t="shared" si="25"/>
        <v>нет</v>
      </c>
      <c r="AK31" s="935">
        <f>ПрофРабота!$Q31</f>
        <v>0</v>
      </c>
      <c r="AL31" s="485">
        <f>ПрофРабота!$R31</f>
        <v>0</v>
      </c>
      <c r="AM31" s="485">
        <f>ПрофРабота!$S31</f>
        <v>0</v>
      </c>
      <c r="AN31" s="817">
        <f>ПрофРабота!$C31</f>
        <v>0</v>
      </c>
      <c r="AO31" s="923">
        <f>МероприятияВуза!$AT31</f>
        <v>0</v>
      </c>
      <c r="AP31" s="919">
        <f>МероприятияВуза!$K31</f>
        <v>0</v>
      </c>
      <c r="AQ31" s="817" t="str">
        <f t="shared" si="26"/>
        <v>нет</v>
      </c>
      <c r="AR31" s="938">
        <f>'ДПО(Финансы)'!$R31</f>
        <v>373023</v>
      </c>
      <c r="AS31" s="939">
        <f>'ДПО(Финансы)'!$D31</f>
        <v>440000</v>
      </c>
      <c r="AT31" s="510" t="e">
        <f t="shared" si="27"/>
        <v>#DIV/0!</v>
      </c>
      <c r="AU31" s="1519">
        <f t="shared" si="28"/>
        <v>84.777954545454548</v>
      </c>
      <c r="AV31" s="938">
        <f>'ДПО(Финансы)'!$R31</f>
        <v>373023</v>
      </c>
      <c r="AW31" s="939">
        <f>'ИДО(Финансы)'!$R31</f>
        <v>0</v>
      </c>
      <c r="AX31" s="939">
        <f>'ДПО(Финансы)'!$S31</f>
        <v>975921.48</v>
      </c>
      <c r="AY31" s="939">
        <f>'ИДО(Финансы)'!$S31</f>
        <v>0</v>
      </c>
      <c r="AZ31" s="839" t="e">
        <f t="shared" si="0"/>
        <v>#DIV/0!</v>
      </c>
      <c r="BA31" s="1520">
        <f t="array" ref="BA31">IF(($E31="да"),IF($AX31=0,"нет",$AV31/$AX31*100-100),"нет")</f>
        <v>-61.777355284771474</v>
      </c>
      <c r="BB31" s="1521">
        <f t="array" ref="BB31">IF(($E31="да"),IF($AX31=0,"нет",$AV31/$AX31*100),"нет")</f>
        <v>38.222644715228526</v>
      </c>
      <c r="BC31" s="1522">
        <f t="shared" si="1"/>
        <v>84.777954545454548</v>
      </c>
      <c r="BD31" s="1522" t="e">
        <f t="array" ref="BD31">IF(($E31="да"),IF($AZ31&gt;$AZ$17,$AZ31/$AZ$16*BD$16,нет),нет)</f>
        <v>#DIV/0!</v>
      </c>
      <c r="BE31" s="938">
        <f>'ИДО(Финансы)'!$R31</f>
        <v>0</v>
      </c>
      <c r="BF31" s="939">
        <f>'ИДО(Финансы)'!D31</f>
        <v>0</v>
      </c>
      <c r="BG31" s="510" t="str">
        <f t="shared" si="29"/>
        <v>нет</v>
      </c>
      <c r="BH31" s="1519" t="str">
        <f t="shared" si="30"/>
        <v>нет</v>
      </c>
      <c r="BI31" s="1523">
        <f t="array" ref="BI31">IF(($E31="да")+($F31="да"),IF((BF31+AS31)=0,"нет",(AR31+BE31)/(BF31+AS31)*100),"нет")</f>
        <v>84.777954545454548</v>
      </c>
      <c r="BJ31" s="829">
        <f>Кадры!$I31</f>
        <v>0</v>
      </c>
      <c r="BK31" s="940">
        <f>Кадры!$O31</f>
        <v>0</v>
      </c>
      <c r="BL31" s="941">
        <f>Кадры!$K31</f>
        <v>0</v>
      </c>
      <c r="BM31" s="821" t="str">
        <f t="array" ref="BM31">IF(BL31=0,"нет",BK31/BL31*100)</f>
        <v>нет</v>
      </c>
      <c r="BN31" s="923">
        <f>Кадры!E31</f>
        <v>0</v>
      </c>
      <c r="BO31" s="941">
        <f>Кадры!$K31</f>
        <v>0</v>
      </c>
      <c r="BP31" s="343" t="str">
        <f t="shared" si="31"/>
        <v>нет</v>
      </c>
      <c r="BQ31" s="342" t="e">
        <f t="shared" si="32"/>
        <v>#DIV/0!</v>
      </c>
      <c r="BR31" s="940">
        <f>Кадры!$L31</f>
        <v>0</v>
      </c>
      <c r="BS31" s="1544">
        <f>Кадры!$J31</f>
        <v>0</v>
      </c>
      <c r="BT31" s="343">
        <f t="shared" si="33"/>
        <v>0</v>
      </c>
      <c r="BU31" s="817">
        <f t="shared" si="34"/>
        <v>100</v>
      </c>
      <c r="BV31" s="923">
        <f>Кадры!$D31</f>
        <v>0</v>
      </c>
      <c r="BW31" s="919">
        <f>Кадры!$F31</f>
        <v>0</v>
      </c>
      <c r="BX31" s="817" t="e">
        <f t="shared" si="35"/>
        <v>#DIV/0!</v>
      </c>
      <c r="BY31" s="940">
        <f>Кадры!$P31</f>
        <v>0</v>
      </c>
      <c r="BZ31" s="941">
        <f>Кадры!$L31</f>
        <v>0</v>
      </c>
      <c r="CA31" s="342" t="str">
        <f t="shared" si="36"/>
        <v>нет</v>
      </c>
      <c r="CC31" s="986" t="s">
        <v>335</v>
      </c>
      <c r="CD31" s="268"/>
      <c r="CE31" s="961"/>
      <c r="CG31" s="335" t="e">
        <f t="array" ref="CG31">SUM(IF($F31:$CA31=нет,0,IF($F31:$CA31&gt;=$F$16:$CA$16,$F$16:$CA$16,IF($F31:$CA31&lt;$F$17:$CA$17,0,$F31:$CA31)))*$F$11:$CA$11*($F$104:$CA$104=CG$4)/$F$16:$CA$16*($F$106:$CA$115*($B$106:$B$115=$B31)*($A$106:$A$115=$A$104)))</f>
        <v>#DIV/0!</v>
      </c>
      <c r="CH31" s="335" t="e">
        <f t="array" ref="CH31">SUM(IF($F31:$CA31=нет,0,IF($F31:$CA31&gt;=$F$16:$CA$16,$F$16:$CA$16,IF($F31:$CA31&lt;$F$17:$CA$17,0,$F31:$CA31)))*$F$11:$CA$11*($F$104:$CA$104=CH$4)/$F$16:$CA$16*($F$106:$CA$115*($B$106:$B$115=$B31)*($A$106:$A$115=$A$104)))</f>
        <v>#DIV/0!</v>
      </c>
      <c r="CI31" s="335" t="e">
        <f t="array" ref="CI31">SUM(IF($F31:$CA31=нет,0,IF($F31:$CA31&gt;=$F$16:$CA$16,$F$16:$CA$16,IF($F31:$CA31&lt;$F$17:$CA$17,0,$F31:$CA31)))*$F$11:$CA$11*($F$105:$CA$105=CI$4)/$F$16:$CA$16*($F$106:$CA$115*($B$106:$B$115=$B31)*($A$106:$A$115=$A$104)))</f>
        <v>#DIV/0!</v>
      </c>
      <c r="CJ31" s="1072" t="e">
        <f>'НУ(ВИД3)'!D32</f>
        <v>#DIV/0!</v>
      </c>
      <c r="CK31" s="335" t="e">
        <f t="array" ref="CK31">SUM(IF($F31:$CA31=нет,0,IF($F31:$CA31&gt;=$F$16:$CA$16,$F$16:$CA$16,IF($F31:$CA31&lt;$F$17:$CA$17,0,$F31:$CA31)))*$F$11:$CA$11*($F$104:$CA$104=CK$4)/$F$16:$CA$16*($F$106:$CA$115*($B$106:$B$115=$B31)*($A$106:$A$115=$A$104)))</f>
        <v>#DIV/0!</v>
      </c>
      <c r="CL31" s="335" t="e">
        <f t="array" ref="CL31">SUM(IF($F31:$CA31=нет,0,IF($F31:$CA31&gt;=$F$16:$CA$16,$F$16:$CA$16,IF($F31:$CA31&lt;$F$17:$CA$17,0,$F31:$CA31)))*$F$11:$CA$11*($F$104:$CA$104=CL$4)/$F$16:$CA$16*($F$106:$CA$115*($B$106:$B$115=$B31)*($A$106:$A$115=$A$104)))</f>
        <v>#DIV/0!</v>
      </c>
      <c r="CM31" s="335" t="e">
        <f t="array" ref="CM31">SUM(IF($F31:$CA31=нет,0,IF($F31:$CA31&gt;=$F$16:$CA$16,$F$16:$CA$16,IF($F31:$CA31&lt;$F$17:$CA$17,0,$F31:$CA31)))*$F$11:$CA$11*($F$104:$CA$104=CM$4)/$F$16:$CA$16*($F$106:$CA$115*($B$106:$B$115=$B31)*($A$106:$A$115=$A$104)))</f>
        <v>#DIV/0!</v>
      </c>
      <c r="CO31" s="1000" t="e">
        <f t="array" ref="CO31">SUM(IF($F31:$CA31=нет,0,100)*$F$11:$CA$11*($F$104:$CA$104=CO$4)/100*($F$106:$CA$115*($B$106:$B$115=$B31)*($A$106:$A$115=$A$104)))</f>
        <v>#DIV/0!</v>
      </c>
      <c r="CP31" s="1000" t="e">
        <f t="array" ref="CP31">SUM(IF($F31:$CA31=нет,0,100)*$F$11:$CA$11*($F$104:$CA$104=CP$4)/100*($F$106:$CA$115*($B$106:$B$115=$B31)*($A$106:$A$115=$A$104)))</f>
        <v>#DIV/0!</v>
      </c>
      <c r="CQ31" s="1000" t="e">
        <f t="array" ref="CQ31">SUM(IF($F31:$CA31=нет,0,100)*$F$11:$CA$11*($F$105:$CA$105=CQ$4)/100*($F$106:$CA$115*($B$106:$B$115=$B31)*($A$106:$A$115=$A$104)))</f>
        <v>#DIV/0!</v>
      </c>
      <c r="CR31" s="1057">
        <f>'НУ(ВИД3)'!E32</f>
        <v>21</v>
      </c>
      <c r="CS31" s="1000" t="e">
        <f t="array" ref="CS31">SUM(IF($F31:$CA31=нет,0,100)*$F$11:$CA$11*($F$104:$CA$104=CS$4)/100*($F$106:$CA$115*($B$106:$B$115=$B31)*($A$106:$A$115=$A$104)))</f>
        <v>#DIV/0!</v>
      </c>
      <c r="CT31" s="1000" t="e">
        <f t="array" ref="CT31">SUM(IF($F31:$CA31=нет,0,100)*$F$11:$CA$11*($F$104:$CA$104=CT$4)/100*($F$106:$CA$115*($B$106:$B$115=$B31)*($A$106:$A$115=$A$104)))</f>
        <v>#DIV/0!</v>
      </c>
      <c r="CU31" s="1000" t="e">
        <f t="array" ref="CU31">SUM(IF($F31:$CA31=нет,0,100)*$F$11:$CA$11*($F$104:$CA$104=CU$4)/100*($F$106:$CA$115*($B$106:$B$115=$B31)*($A$106:$A$115=$A$104)))</f>
        <v>#DIV/0!</v>
      </c>
      <c r="CW31" s="333" t="e">
        <f>SUM(CG31:CH31,CJ31:CM31,'Реестр ППС'!#REF!,' "Вуз зож"'!S31)</f>
        <v>#REF!</v>
      </c>
      <c r="CX31" s="333" t="e">
        <f>SUM(CO31:CP31,CR31:CU31,'Реестр ППС'!#REF!,' "Вуз зож"'!T31)</f>
        <v>#REF!</v>
      </c>
      <c r="CY31" s="332" t="e">
        <f t="shared" si="10"/>
        <v>#REF!</v>
      </c>
      <c r="DA31" s="336" t="e">
        <f>SUM(CI31:CK31,CM31,'Реестр ППС'!#REF!,' "Вуз зож"'!S31)</f>
        <v>#REF!</v>
      </c>
      <c r="DB31" s="336" t="e">
        <f>SUM(CQ31:CS31,CU31,'Реестр ППС'!#REF!,' "Вуз зож"'!T31)</f>
        <v>#REF!</v>
      </c>
      <c r="DC31" s="332" t="e">
        <f t="shared" si="37"/>
        <v>#REF!</v>
      </c>
      <c r="DD31" s="961"/>
      <c r="DE31" s="337" t="e">
        <f t="shared" si="11"/>
        <v>#DIV/0!</v>
      </c>
      <c r="DF31" s="337" t="e">
        <f t="shared" si="12"/>
        <v>#DIV/0!</v>
      </c>
      <c r="DG31" s="337" t="e">
        <f t="shared" si="13"/>
        <v>#DIV/0!</v>
      </c>
      <c r="DH31" s="337" t="e">
        <f t="shared" si="14"/>
        <v>#DIV/0!</v>
      </c>
      <c r="DI31" s="337" t="e">
        <f t="shared" si="15"/>
        <v>#DIV/0!</v>
      </c>
      <c r="DJ31" s="337" t="e">
        <f t="shared" si="16"/>
        <v>#DIV/0!</v>
      </c>
      <c r="DK31" s="337" t="e">
        <f t="shared" si="17"/>
        <v>#DIV/0!</v>
      </c>
      <c r="DL31" s="334" t="str">
        <f t="shared" si="4"/>
        <v>Терапии и общей врачебной практики с курсом ДПО</v>
      </c>
      <c r="DM31" s="215" t="str">
        <f t="shared" si="18"/>
        <v>КМЕДИЦИНЫ</v>
      </c>
      <c r="DN31" s="1505" t="e">
        <f t="shared" si="38"/>
        <v>#REF!</v>
      </c>
      <c r="DO31" s="338"/>
      <c r="DP31" s="338"/>
      <c r="DQ31" s="338"/>
      <c r="DR31" s="318"/>
      <c r="DS31" s="318"/>
      <c r="DT31" s="318"/>
      <c r="DU31" s="318"/>
      <c r="DV31" s="318"/>
      <c r="DW31" s="318"/>
      <c r="DX31" s="318"/>
    </row>
    <row r="32" spans="1:128" s="215" customFormat="1" ht="15.75" thickBot="1" x14ac:dyDescent="0.25">
      <c r="A32" s="550" t="s">
        <v>331</v>
      </c>
      <c r="B32" s="340" t="s">
        <v>7</v>
      </c>
      <c r="C32" s="482">
        <f>Кадры!C32</f>
        <v>0</v>
      </c>
      <c r="D32" s="2076" t="str">
        <f t="shared" si="19"/>
        <v>КМЕДИЦИНЫ</v>
      </c>
      <c r="E32" s="2074" t="s">
        <v>16</v>
      </c>
      <c r="F32" s="341" t="s">
        <v>31</v>
      </c>
      <c r="G32" s="909"/>
      <c r="H32" s="817">
        <f t="shared" si="5"/>
        <v>100</v>
      </c>
      <c r="I32" s="1748"/>
      <c r="J32" s="342">
        <f t="shared" si="6"/>
        <v>100</v>
      </c>
      <c r="K32" s="920">
        <f>МероприятияВуза!$AR32+МероприятияВуза!$AQ32</f>
        <v>0</v>
      </c>
      <c r="L32" s="919">
        <f>МероприятияВуза!$G32+МероприятияВуза!$H32</f>
        <v>0</v>
      </c>
      <c r="M32" s="925" t="str">
        <f t="shared" si="20"/>
        <v>нет</v>
      </c>
      <c r="N32" s="923">
        <f>МероприятияВуза!$AS32</f>
        <v>0</v>
      </c>
      <c r="O32" s="919">
        <f>МероприятияВуза!$I32+МероприятияВуза!$J32</f>
        <v>0</v>
      </c>
      <c r="P32" s="925" t="str">
        <f t="shared" si="21"/>
        <v>нет</v>
      </c>
      <c r="Q32" s="1838"/>
      <c r="R32" s="817">
        <f t="shared" si="22"/>
        <v>100</v>
      </c>
      <c r="S32" s="1847"/>
      <c r="T32" s="1848"/>
      <c r="U32" s="844" t="str">
        <f t="shared" si="23"/>
        <v>нет</v>
      </c>
      <c r="V32" s="904"/>
      <c r="W32" s="909"/>
      <c r="X32" s="844" t="str">
        <f t="shared" si="7"/>
        <v>нет</v>
      </c>
      <c r="Y32" s="1857"/>
      <c r="Z32" s="1858"/>
      <c r="AA32" s="844" t="str">
        <f t="shared" si="8"/>
        <v>нет</v>
      </c>
      <c r="AB32" s="1748"/>
      <c r="AC32" s="909"/>
      <c r="AD32" s="912" t="str">
        <f>IF(AC32=0,"нет",AC32/AB32*100)</f>
        <v>нет</v>
      </c>
      <c r="AE32" s="947"/>
      <c r="AF32" s="949"/>
      <c r="AG32" s="844" t="str">
        <f t="shared" si="9"/>
        <v>нет</v>
      </c>
      <c r="AH32" s="951"/>
      <c r="AI32" s="949"/>
      <c r="AJ32" s="844" t="str">
        <f t="shared" si="25"/>
        <v>нет</v>
      </c>
      <c r="AK32" s="935">
        <f>ПрофРабота!$Q32</f>
        <v>0</v>
      </c>
      <c r="AL32" s="485">
        <f>ПрофРабота!$R32</f>
        <v>0</v>
      </c>
      <c r="AM32" s="485">
        <f>ПрофРабота!$S32</f>
        <v>0</v>
      </c>
      <c r="AN32" s="817">
        <f>ПрофРабота!$C32</f>
        <v>0</v>
      </c>
      <c r="AO32" s="923">
        <f>МероприятияВуза!$AT32</f>
        <v>0</v>
      </c>
      <c r="AP32" s="919">
        <f>МероприятияВуза!$K32</f>
        <v>0</v>
      </c>
      <c r="AQ32" s="817" t="str">
        <f t="shared" si="26"/>
        <v>нет</v>
      </c>
      <c r="AR32" s="938">
        <f>'ДПО(Финансы)'!$R32</f>
        <v>25650</v>
      </c>
      <c r="AS32" s="939">
        <f>'ДПО(Финансы)'!$D32</f>
        <v>25000</v>
      </c>
      <c r="AT32" s="510" t="e">
        <f t="shared" si="27"/>
        <v>#DIV/0!</v>
      </c>
      <c r="AU32" s="1519">
        <f t="shared" si="28"/>
        <v>102.60000000000001</v>
      </c>
      <c r="AV32" s="938">
        <f>'ДПО(Финансы)'!$R32</f>
        <v>25650</v>
      </c>
      <c r="AW32" s="939">
        <f>'ИДО(Финансы)'!$R32</f>
        <v>0</v>
      </c>
      <c r="AX32" s="939">
        <f>'ДПО(Финансы)'!$S32</f>
        <v>239374.78</v>
      </c>
      <c r="AY32" s="939">
        <f>'ИДО(Финансы)'!$S32</f>
        <v>0</v>
      </c>
      <c r="AZ32" s="839" t="e">
        <f t="shared" si="0"/>
        <v>#DIV/0!</v>
      </c>
      <c r="BA32" s="1520">
        <f t="array" ref="BA32">IF(($E32="да"),IF($AX32=0,"нет",$AV32/$AX32*100-100),"нет")</f>
        <v>-89.284585452151646</v>
      </c>
      <c r="BB32" s="1521">
        <f t="array" ref="BB32">IF(($E32="да"),IF($AX32=0,"нет",$AV32/$AX32*100),"нет")</f>
        <v>10.715414547848358</v>
      </c>
      <c r="BC32" s="1522">
        <f t="shared" si="1"/>
        <v>102.60000000000001</v>
      </c>
      <c r="BD32" s="1522" t="e">
        <f t="array" ref="BD32">IF(($E32="да"),IF($AZ32&gt;$AZ$17,$AZ32/$AZ$16*BD$16,нет),нет)</f>
        <v>#DIV/0!</v>
      </c>
      <c r="BE32" s="938">
        <f>'ИДО(Финансы)'!$R32</f>
        <v>0</v>
      </c>
      <c r="BF32" s="939">
        <f>'ИДО(Финансы)'!D32</f>
        <v>0</v>
      </c>
      <c r="BG32" s="510" t="str">
        <f t="shared" si="29"/>
        <v>нет</v>
      </c>
      <c r="BH32" s="1519" t="str">
        <f t="shared" si="30"/>
        <v>нет</v>
      </c>
      <c r="BI32" s="1523">
        <f t="array" ref="BI32">IF(($E32="да")+($F32="да"),IF((BF32+AS32)=0,"нет",(AR32+BE32)/(BF32+AS32)*100),"нет")</f>
        <v>102.60000000000001</v>
      </c>
      <c r="BJ32" s="829">
        <f>Кадры!$I32</f>
        <v>0</v>
      </c>
      <c r="BK32" s="940">
        <f>Кадры!$O32</f>
        <v>0</v>
      </c>
      <c r="BL32" s="941">
        <f>Кадры!$K32</f>
        <v>0</v>
      </c>
      <c r="BM32" s="821" t="str">
        <f t="array" ref="BM32">IF(BL32=0,"нет",BK32/BL32*100)</f>
        <v>нет</v>
      </c>
      <c r="BN32" s="923">
        <f>Кадры!E32</f>
        <v>0</v>
      </c>
      <c r="BO32" s="941">
        <f>Кадры!$K32</f>
        <v>0</v>
      </c>
      <c r="BP32" s="343" t="str">
        <f t="shared" si="31"/>
        <v>нет</v>
      </c>
      <c r="BQ32" s="342" t="e">
        <f t="shared" si="32"/>
        <v>#DIV/0!</v>
      </c>
      <c r="BR32" s="940">
        <f>Кадры!$L32</f>
        <v>0</v>
      </c>
      <c r="BS32" s="1544">
        <f>Кадры!$J32</f>
        <v>0</v>
      </c>
      <c r="BT32" s="343">
        <f t="shared" si="33"/>
        <v>0</v>
      </c>
      <c r="BU32" s="817">
        <f t="shared" si="34"/>
        <v>100</v>
      </c>
      <c r="BV32" s="923">
        <f>Кадры!$D32</f>
        <v>0</v>
      </c>
      <c r="BW32" s="919">
        <f>Кадры!$F32</f>
        <v>0</v>
      </c>
      <c r="BX32" s="817" t="e">
        <f t="shared" si="35"/>
        <v>#DIV/0!</v>
      </c>
      <c r="BY32" s="940">
        <f>Кадры!$P32</f>
        <v>0</v>
      </c>
      <c r="BZ32" s="941">
        <f>Кадры!$L32</f>
        <v>0</v>
      </c>
      <c r="CA32" s="342" t="str">
        <f t="shared" si="36"/>
        <v>нет</v>
      </c>
      <c r="CC32" s="986" t="s">
        <v>335</v>
      </c>
      <c r="CD32" s="268"/>
      <c r="CE32" s="961"/>
      <c r="CG32" s="335" t="e">
        <f t="array" ref="CG32">SUM(IF($F32:$CA32=нет,0,IF($F32:$CA32&gt;=$F$16:$CA$16,$F$16:$CA$16,IF($F32:$CA32&lt;$F$17:$CA$17,0,$F32:$CA32)))*$F$11:$CA$11*($F$104:$CA$104=CG$4)/$F$16:$CA$16*($F$106:$CA$115*($B$106:$B$115=$B32)*($A$106:$A$115=$A$104)))</f>
        <v>#DIV/0!</v>
      </c>
      <c r="CH32" s="335" t="e">
        <f t="array" ref="CH32">SUM(IF($F32:$CA32=нет,0,IF($F32:$CA32&gt;=$F$16:$CA$16,$F$16:$CA$16,IF($F32:$CA32&lt;$F$17:$CA$17,0,$F32:$CA32)))*$F$11:$CA$11*($F$104:$CA$104=CH$4)/$F$16:$CA$16*($F$106:$CA$115*($B$106:$B$115=$B32)*($A$106:$A$115=$A$104)))</f>
        <v>#DIV/0!</v>
      </c>
      <c r="CI32" s="335" t="e">
        <f t="array" ref="CI32">SUM(IF($F32:$CA32=нет,0,IF($F32:$CA32&gt;=$F$16:$CA$16,$F$16:$CA$16,IF($F32:$CA32&lt;$F$17:$CA$17,0,$F32:$CA32)))*$F$11:$CA$11*($F$105:$CA$105=CI$4)/$F$16:$CA$16*($F$106:$CA$115*($B$106:$B$115=$B32)*($A$106:$A$115=$A$104)))</f>
        <v>#DIV/0!</v>
      </c>
      <c r="CJ32" s="1072" t="e">
        <f>'НУ(ВИД3)'!D33</f>
        <v>#DIV/0!</v>
      </c>
      <c r="CK32" s="335" t="e">
        <f t="array" ref="CK32">SUM(IF($F32:$CA32=нет,0,IF($F32:$CA32&gt;=$F$16:$CA$16,$F$16:$CA$16,IF($F32:$CA32&lt;$F$17:$CA$17,0,$F32:$CA32)))*$F$11:$CA$11*($F$104:$CA$104=CK$4)/$F$16:$CA$16*($F$106:$CA$115*($B$106:$B$115=$B32)*($A$106:$A$115=$A$104)))</f>
        <v>#DIV/0!</v>
      </c>
      <c r="CL32" s="335" t="e">
        <f t="array" ref="CL32">SUM(IF($F32:$CA32=нет,0,IF($F32:$CA32&gt;=$F$16:$CA$16,$F$16:$CA$16,IF($F32:$CA32&lt;$F$17:$CA$17,0,$F32:$CA32)))*$F$11:$CA$11*($F$104:$CA$104=CL$4)/$F$16:$CA$16*($F$106:$CA$115*($B$106:$B$115=$B32)*($A$106:$A$115=$A$104)))</f>
        <v>#DIV/0!</v>
      </c>
      <c r="CM32" s="335" t="e">
        <f t="array" ref="CM32">SUM(IF($F32:$CA32=нет,0,IF($F32:$CA32&gt;=$F$16:$CA$16,$F$16:$CA$16,IF($F32:$CA32&lt;$F$17:$CA$17,0,$F32:$CA32)))*$F$11:$CA$11*($F$104:$CA$104=CM$4)/$F$16:$CA$16*($F$106:$CA$115*($B$106:$B$115=$B32)*($A$106:$A$115=$A$104)))</f>
        <v>#DIV/0!</v>
      </c>
      <c r="CO32" s="1000" t="e">
        <f t="array" ref="CO32">SUM(IF($F32:$CA32=нет,0,100)*$F$11:$CA$11*($F$104:$CA$104=CO$4)/100*($F$106:$CA$115*($B$106:$B$115=$B32)*($A$106:$A$115=$A$104)))</f>
        <v>#DIV/0!</v>
      </c>
      <c r="CP32" s="1000" t="e">
        <f t="array" ref="CP32">SUM(IF($F32:$CA32=нет,0,100)*$F$11:$CA$11*($F$104:$CA$104=CP$4)/100*($F$106:$CA$115*($B$106:$B$115=$B32)*($A$106:$A$115=$A$104)))</f>
        <v>#DIV/0!</v>
      </c>
      <c r="CQ32" s="1000" t="e">
        <f t="array" ref="CQ32">SUM(IF($F32:$CA32=нет,0,100)*$F$11:$CA$11*($F$105:$CA$105=CQ$4)/100*($F$106:$CA$115*($B$106:$B$115=$B32)*($A$106:$A$115=$A$104)))</f>
        <v>#DIV/0!</v>
      </c>
      <c r="CR32" s="1057">
        <f>'НУ(ВИД3)'!E33</f>
        <v>21</v>
      </c>
      <c r="CS32" s="1000" t="e">
        <f t="array" ref="CS32">SUM(IF($F32:$CA32=нет,0,100)*$F$11:$CA$11*($F$104:$CA$104=CS$4)/100*($F$106:$CA$115*($B$106:$B$115=$B32)*($A$106:$A$115=$A$104)))</f>
        <v>#DIV/0!</v>
      </c>
      <c r="CT32" s="1000" t="e">
        <f t="array" ref="CT32">SUM(IF($F32:$CA32=нет,0,100)*$F$11:$CA$11*($F$104:$CA$104=CT$4)/100*($F$106:$CA$115*($B$106:$B$115=$B32)*($A$106:$A$115=$A$104)))</f>
        <v>#DIV/0!</v>
      </c>
      <c r="CU32" s="1000" t="e">
        <f t="array" ref="CU32">SUM(IF($F32:$CA32=нет,0,100)*$F$11:$CA$11*($F$104:$CA$104=CU$4)/100*($F$106:$CA$115*($B$106:$B$115=$B32)*($A$106:$A$115=$A$104)))</f>
        <v>#DIV/0!</v>
      </c>
      <c r="CW32" s="333" t="e">
        <f>SUM(CG32:CH32,CJ32:CM32,'Реестр ППС'!#REF!,' "Вуз зож"'!S32)</f>
        <v>#REF!</v>
      </c>
      <c r="CX32" s="333" t="e">
        <f>SUM(CO32:CP32,CR32:CU32,'Реестр ППС'!#REF!,' "Вуз зож"'!T32)</f>
        <v>#REF!</v>
      </c>
      <c r="CY32" s="332" t="e">
        <f t="shared" si="10"/>
        <v>#REF!</v>
      </c>
      <c r="DA32" s="336" t="e">
        <f>SUM(CI32:CK32,CM32,'Реестр ППС'!#REF!,' "Вуз зож"'!S32)</f>
        <v>#REF!</v>
      </c>
      <c r="DB32" s="336" t="e">
        <f>SUM(CQ32:CS32,CU32,'Реестр ППС'!#REF!,' "Вуз зож"'!T32)</f>
        <v>#REF!</v>
      </c>
      <c r="DC32" s="332" t="e">
        <f t="shared" si="37"/>
        <v>#REF!</v>
      </c>
      <c r="DD32" s="961"/>
      <c r="DE32" s="337" t="e">
        <f t="shared" si="11"/>
        <v>#DIV/0!</v>
      </c>
      <c r="DF32" s="337" t="e">
        <f t="shared" si="12"/>
        <v>#DIV/0!</v>
      </c>
      <c r="DG32" s="337" t="e">
        <f t="shared" si="13"/>
        <v>#DIV/0!</v>
      </c>
      <c r="DH32" s="337" t="e">
        <f t="shared" si="14"/>
        <v>#DIV/0!</v>
      </c>
      <c r="DI32" s="337" t="e">
        <f t="shared" si="15"/>
        <v>#DIV/0!</v>
      </c>
      <c r="DJ32" s="337" t="e">
        <f t="shared" si="16"/>
        <v>#DIV/0!</v>
      </c>
      <c r="DK32" s="337" t="e">
        <f t="shared" si="17"/>
        <v>#DIV/0!</v>
      </c>
      <c r="DL32" s="334" t="str">
        <f t="shared" si="4"/>
        <v>Травматологии и ортопедии</v>
      </c>
      <c r="DM32" s="215" t="str">
        <f t="shared" si="18"/>
        <v>КМЕДИЦИНЫ</v>
      </c>
      <c r="DN32" s="1505" t="e">
        <f t="shared" si="38"/>
        <v>#REF!</v>
      </c>
      <c r="DO32" s="338"/>
      <c r="DP32" s="338"/>
      <c r="DQ32" s="338"/>
      <c r="DR32" s="318"/>
      <c r="DS32" s="318"/>
      <c r="DT32" s="318"/>
      <c r="DU32" s="318"/>
      <c r="DV32" s="318"/>
      <c r="DW32" s="318"/>
      <c r="DX32" s="318"/>
    </row>
    <row r="33" spans="1:128" s="215" customFormat="1" ht="15.75" thickBot="1" x14ac:dyDescent="0.25">
      <c r="A33" s="550" t="s">
        <v>411</v>
      </c>
      <c r="B33" s="340" t="s">
        <v>7</v>
      </c>
      <c r="C33" s="482">
        <f>Кадры!C33</f>
        <v>0</v>
      </c>
      <c r="D33" s="2076" t="str">
        <f>CC33</f>
        <v>КМЕДИЦИНЫ</v>
      </c>
      <c r="E33" s="2074" t="s">
        <v>16</v>
      </c>
      <c r="F33" s="341" t="s">
        <v>31</v>
      </c>
      <c r="G33" s="909"/>
      <c r="H33" s="817">
        <f t="shared" si="5"/>
        <v>100</v>
      </c>
      <c r="I33" s="1748"/>
      <c r="J33" s="342">
        <f t="shared" si="6"/>
        <v>100</v>
      </c>
      <c r="K33" s="920">
        <f>МероприятияВуза!$AR33+МероприятияВуза!$AQ33</f>
        <v>0</v>
      </c>
      <c r="L33" s="919">
        <f>МероприятияВуза!$G33+МероприятияВуза!$H33</f>
        <v>0</v>
      </c>
      <c r="M33" s="925" t="str">
        <f t="shared" si="20"/>
        <v>нет</v>
      </c>
      <c r="N33" s="923">
        <f>МероприятияВуза!$AS33</f>
        <v>0</v>
      </c>
      <c r="O33" s="919">
        <f>МероприятияВуза!$I33+МероприятияВуза!$J33</f>
        <v>0</v>
      </c>
      <c r="P33" s="925" t="str">
        <f t="shared" si="21"/>
        <v>нет</v>
      </c>
      <c r="Q33" s="1838"/>
      <c r="R33" s="817">
        <f t="shared" si="22"/>
        <v>100</v>
      </c>
      <c r="S33" s="1847"/>
      <c r="T33" s="1848"/>
      <c r="U33" s="844" t="str">
        <f t="shared" si="23"/>
        <v>нет</v>
      </c>
      <c r="V33" s="904"/>
      <c r="W33" s="909"/>
      <c r="X33" s="844" t="str">
        <f t="shared" si="7"/>
        <v>нет</v>
      </c>
      <c r="Y33" s="1857"/>
      <c r="Z33" s="1858"/>
      <c r="AA33" s="844" t="str">
        <f t="shared" si="8"/>
        <v>нет</v>
      </c>
      <c r="AB33" s="1748"/>
      <c r="AC33" s="909"/>
      <c r="AD33" s="912" t="str">
        <f t="shared" si="24"/>
        <v>нет</v>
      </c>
      <c r="AE33" s="947"/>
      <c r="AF33" s="949"/>
      <c r="AG33" s="844" t="str">
        <f t="shared" si="9"/>
        <v>нет</v>
      </c>
      <c r="AH33" s="951"/>
      <c r="AI33" s="949"/>
      <c r="AJ33" s="844" t="str">
        <f t="shared" si="25"/>
        <v>нет</v>
      </c>
      <c r="AK33" s="935">
        <f>ПрофРабота!$Q33</f>
        <v>0</v>
      </c>
      <c r="AL33" s="485">
        <f>ПрофРабота!$R33</f>
        <v>0</v>
      </c>
      <c r="AM33" s="485">
        <f>ПрофРабота!$S33</f>
        <v>0</v>
      </c>
      <c r="AN33" s="817">
        <f>ПрофРабота!$C33</f>
        <v>0</v>
      </c>
      <c r="AO33" s="923">
        <f>МероприятияВуза!$AT33</f>
        <v>0</v>
      </c>
      <c r="AP33" s="919">
        <f>МероприятияВуза!$K33</f>
        <v>0</v>
      </c>
      <c r="AQ33" s="817" t="str">
        <f t="shared" si="26"/>
        <v>нет</v>
      </c>
      <c r="AR33" s="938">
        <f>'ДПО(Финансы)'!$R33</f>
        <v>1527702</v>
      </c>
      <c r="AS33" s="939">
        <f>'ДПО(Финансы)'!$D33</f>
        <v>1400000</v>
      </c>
      <c r="AT33" s="510" t="e">
        <f t="shared" si="27"/>
        <v>#DIV/0!</v>
      </c>
      <c r="AU33" s="1519">
        <f t="shared" si="28"/>
        <v>109.12157142857141</v>
      </c>
      <c r="AV33" s="938">
        <f>'ДПО(Финансы)'!$R33</f>
        <v>1527702</v>
      </c>
      <c r="AW33" s="939">
        <f>'ИДО(Финансы)'!$R33</f>
        <v>0</v>
      </c>
      <c r="AX33" s="939">
        <f>'ДПО(Финансы)'!$S33</f>
        <v>2920837.24</v>
      </c>
      <c r="AY33" s="939">
        <f>'ИДО(Финансы)'!$S33</f>
        <v>0</v>
      </c>
      <c r="AZ33" s="839" t="e">
        <f t="shared" si="0"/>
        <v>#DIV/0!</v>
      </c>
      <c r="BA33" s="1520">
        <f t="array" ref="BA33">IF(($E33="да"),IF($AX33=0,"нет",$AV33/$AX33*100-100),"нет")</f>
        <v>-47.696435149532675</v>
      </c>
      <c r="BB33" s="1521">
        <f t="array" ref="BB33">IF(($E33="да"),IF($AX33=0,"нет",$AV33/$AX33*100),"нет")</f>
        <v>52.303564850467325</v>
      </c>
      <c r="BC33" s="1522">
        <f t="shared" si="1"/>
        <v>109.12157142857141</v>
      </c>
      <c r="BD33" s="1522" t="e">
        <f t="array" ref="BD33">IF(($E33="да"),IF($AZ33&gt;$AZ$17,$AZ33/$AZ$16*BD$16,нет),нет)</f>
        <v>#DIV/0!</v>
      </c>
      <c r="BE33" s="938">
        <f>'ИДО(Финансы)'!$R33</f>
        <v>0</v>
      </c>
      <c r="BF33" s="939">
        <f>'ИДО(Финансы)'!D33</f>
        <v>0</v>
      </c>
      <c r="BG33" s="510" t="str">
        <f t="shared" si="29"/>
        <v>нет</v>
      </c>
      <c r="BH33" s="1519" t="str">
        <f t="shared" si="30"/>
        <v>нет</v>
      </c>
      <c r="BI33" s="1523">
        <f t="array" ref="BI33">IF(($E33="да")+($F33="да"),IF((BF33+AS33)=0,"нет",(AR33+BE33)/(BF33+AS33)*100),"нет")</f>
        <v>109.12157142857141</v>
      </c>
      <c r="BJ33" s="829">
        <f>Кадры!$I33</f>
        <v>0</v>
      </c>
      <c r="BK33" s="940">
        <f>Кадры!$O33</f>
        <v>0</v>
      </c>
      <c r="BL33" s="941">
        <f>Кадры!$K33</f>
        <v>0</v>
      </c>
      <c r="BM33" s="821" t="str">
        <f t="array" ref="BM33">IF(BL33=0,"нет",BK33/BL33*100)</f>
        <v>нет</v>
      </c>
      <c r="BN33" s="923">
        <f>Кадры!E33</f>
        <v>0</v>
      </c>
      <c r="BO33" s="941">
        <f>Кадры!$K33</f>
        <v>0</v>
      </c>
      <c r="BP33" s="343" t="str">
        <f t="shared" si="31"/>
        <v>нет</v>
      </c>
      <c r="BQ33" s="342" t="e">
        <f t="shared" si="32"/>
        <v>#DIV/0!</v>
      </c>
      <c r="BR33" s="940">
        <f>Кадры!$L33</f>
        <v>0</v>
      </c>
      <c r="BS33" s="1544">
        <f>Кадры!$J33</f>
        <v>0</v>
      </c>
      <c r="BT33" s="343">
        <f t="shared" si="33"/>
        <v>0</v>
      </c>
      <c r="BU33" s="817">
        <f t="shared" si="34"/>
        <v>100</v>
      </c>
      <c r="BV33" s="923">
        <f>Кадры!$D33</f>
        <v>0</v>
      </c>
      <c r="BW33" s="919">
        <f>Кадры!$F33</f>
        <v>0</v>
      </c>
      <c r="BX33" s="817" t="e">
        <f t="shared" si="35"/>
        <v>#DIV/0!</v>
      </c>
      <c r="BY33" s="940">
        <f>Кадры!$P33</f>
        <v>0</v>
      </c>
      <c r="BZ33" s="941">
        <f>Кадры!$L33</f>
        <v>0</v>
      </c>
      <c r="CA33" s="342" t="str">
        <f t="shared" si="36"/>
        <v>нет</v>
      </c>
      <c r="CC33" s="986" t="s">
        <v>335</v>
      </c>
      <c r="CD33" s="268"/>
      <c r="CE33" s="961"/>
      <c r="CG33" s="335" t="e">
        <f t="array" ref="CG33">SUM(IF($F33:$CA33=нет,0,IF($F33:$CA33&gt;=$F$16:$CA$16,$F$16:$CA$16,IF($F33:$CA33&lt;$F$17:$CA$17,0,$F33:$CA33)))*$F$11:$CA$11*($F$104:$CA$104=CG$4)/$F$16:$CA$16*($F$106:$CA$115*($B$106:$B$115=$B33)*($A$106:$A$115=$A$104)))</f>
        <v>#DIV/0!</v>
      </c>
      <c r="CH33" s="335" t="e">
        <f t="array" ref="CH33">SUM(IF($F33:$CA33=нет,0,IF($F33:$CA33&gt;=$F$16:$CA$16,$F$16:$CA$16,IF($F33:$CA33&lt;$F$17:$CA$17,0,$F33:$CA33)))*$F$11:$CA$11*($F$104:$CA$104=CH$4)/$F$16:$CA$16*($F$106:$CA$115*($B$106:$B$115=$B33)*($A$106:$A$115=$A$104)))</f>
        <v>#DIV/0!</v>
      </c>
      <c r="CI33" s="335" t="e">
        <f t="array" ref="CI33">SUM(IF($F33:$CA33=нет,0,IF($F33:$CA33&gt;=$F$16:$CA$16,$F$16:$CA$16,IF($F33:$CA33&lt;$F$17:$CA$17,0,$F33:$CA33)))*$F$11:$CA$11*($F$105:$CA$105=CI$4)/$F$16:$CA$16*($F$106:$CA$115*($B$106:$B$115=$B33)*($A$106:$A$115=$A$104)))</f>
        <v>#DIV/0!</v>
      </c>
      <c r="CJ33" s="1072" t="e">
        <f>'НУ(ВИД3)'!D34</f>
        <v>#DIV/0!</v>
      </c>
      <c r="CK33" s="335" t="e">
        <f t="array" ref="CK33">SUM(IF($F33:$CA33=нет,0,IF($F33:$CA33&gt;=$F$16:$CA$16,$F$16:$CA$16,IF($F33:$CA33&lt;$F$17:$CA$17,0,$F33:$CA33)))*$F$11:$CA$11*($F$104:$CA$104=CK$4)/$F$16:$CA$16*($F$106:$CA$115*($B$106:$B$115=$B33)*($A$106:$A$115=$A$104)))</f>
        <v>#DIV/0!</v>
      </c>
      <c r="CL33" s="335" t="e">
        <f t="array" ref="CL33">SUM(IF($F33:$CA33=нет,0,IF($F33:$CA33&gt;=$F$16:$CA$16,$F$16:$CA$16,IF($F33:$CA33&lt;$F$17:$CA$17,0,$F33:$CA33)))*$F$11:$CA$11*($F$104:$CA$104=CL$4)/$F$16:$CA$16*($F$106:$CA$115*($B$106:$B$115=$B33)*($A$106:$A$115=$A$104)))</f>
        <v>#DIV/0!</v>
      </c>
      <c r="CM33" s="335" t="e">
        <f t="array" ref="CM33">SUM(IF($F33:$CA33=нет,0,IF($F33:$CA33&gt;=$F$16:$CA$16,$F$16:$CA$16,IF($F33:$CA33&lt;$F$17:$CA$17,0,$F33:$CA33)))*$F$11:$CA$11*($F$104:$CA$104=CM$4)/$F$16:$CA$16*($F$106:$CA$115*($B$106:$B$115=$B33)*($A$106:$A$115=$A$104)))</f>
        <v>#DIV/0!</v>
      </c>
      <c r="CO33" s="1000" t="e">
        <f t="array" ref="CO33">SUM(IF($F33:$CA33=нет,0,100)*$F$11:$CA$11*($F$104:$CA$104=CO$4)/100*($F$106:$CA$115*($B$106:$B$115=$B33)*($A$106:$A$115=$A$104)))</f>
        <v>#DIV/0!</v>
      </c>
      <c r="CP33" s="1000" t="e">
        <f t="array" ref="CP33">SUM(IF($F33:$CA33=нет,0,100)*$F$11:$CA$11*($F$104:$CA$104=CP$4)/100*($F$106:$CA$115*($B$106:$B$115=$B33)*($A$106:$A$115=$A$104)))</f>
        <v>#DIV/0!</v>
      </c>
      <c r="CQ33" s="1000" t="e">
        <f t="array" ref="CQ33">SUM(IF($F33:$CA33=нет,0,100)*$F$11:$CA$11*($F$105:$CA$105=CQ$4)/100*($F$106:$CA$115*($B$106:$B$115=$B33)*($A$106:$A$115=$A$104)))</f>
        <v>#DIV/0!</v>
      </c>
      <c r="CR33" s="1057">
        <f>'НУ(ВИД3)'!E34</f>
        <v>21</v>
      </c>
      <c r="CS33" s="1000" t="e">
        <f t="array" ref="CS33">SUM(IF($F33:$CA33=нет,0,100)*$F$11:$CA$11*($F$104:$CA$104=CS$4)/100*($F$106:$CA$115*($B$106:$B$115=$B33)*($A$106:$A$115=$A$104)))</f>
        <v>#DIV/0!</v>
      </c>
      <c r="CT33" s="1000" t="e">
        <f t="array" ref="CT33">SUM(IF($F33:$CA33=нет,0,100)*$F$11:$CA$11*($F$104:$CA$104=CT$4)/100*($F$106:$CA$115*($B$106:$B$115=$B33)*($A$106:$A$115=$A$104)))</f>
        <v>#DIV/0!</v>
      </c>
      <c r="CU33" s="1000" t="e">
        <f t="array" ref="CU33">SUM(IF($F33:$CA33=нет,0,100)*$F$11:$CA$11*($F$104:$CA$104=CU$4)/100*($F$106:$CA$115*($B$106:$B$115=$B33)*($A$106:$A$115=$A$104)))</f>
        <v>#DIV/0!</v>
      </c>
      <c r="CW33" s="333" t="e">
        <f>SUM(CG33:CH33,CJ33:CM33,'Реестр ППС'!#REF!,' "Вуз зож"'!S33)</f>
        <v>#REF!</v>
      </c>
      <c r="CX33" s="333" t="e">
        <f>SUM(CO33:CP33,CR33:CU33,'Реестр ППС'!#REF!,' "Вуз зож"'!T33)</f>
        <v>#REF!</v>
      </c>
      <c r="CY33" s="332" t="e">
        <f t="shared" si="10"/>
        <v>#REF!</v>
      </c>
      <c r="DA33" s="336" t="e">
        <f>SUM(CI33:CK33,CM33,'Реестр ППС'!#REF!,' "Вуз зож"'!S33)</f>
        <v>#REF!</v>
      </c>
      <c r="DB33" s="336" t="e">
        <f>SUM(CQ33:CS33,CU33,'Реестр ППС'!#REF!,' "Вуз зож"'!T33)</f>
        <v>#REF!</v>
      </c>
      <c r="DC33" s="332" t="e">
        <f t="shared" si="37"/>
        <v>#REF!</v>
      </c>
      <c r="DD33" s="961"/>
      <c r="DE33" s="337" t="e">
        <f t="shared" si="11"/>
        <v>#DIV/0!</v>
      </c>
      <c r="DF33" s="337" t="e">
        <f t="shared" si="12"/>
        <v>#DIV/0!</v>
      </c>
      <c r="DG33" s="337" t="e">
        <f t="shared" si="13"/>
        <v>#DIV/0!</v>
      </c>
      <c r="DH33" s="337" t="e">
        <f t="shared" si="14"/>
        <v>#DIV/0!</v>
      </c>
      <c r="DI33" s="337" t="e">
        <f t="shared" si="15"/>
        <v>#DIV/0!</v>
      </c>
      <c r="DJ33" s="337" t="e">
        <f t="shared" si="16"/>
        <v>#DIV/0!</v>
      </c>
      <c r="DK33" s="337" t="e">
        <f t="shared" si="17"/>
        <v>#DIV/0!</v>
      </c>
      <c r="DL33" s="334" t="str">
        <f t="shared" si="4"/>
        <v>Ультразвуковой и функциональной диагностики с курсом ДПО</v>
      </c>
      <c r="DM33" s="215" t="str">
        <f t="shared" si="18"/>
        <v>КМЕДИЦИНЫ</v>
      </c>
      <c r="DN33" s="1505" t="e">
        <f t="shared" si="38"/>
        <v>#REF!</v>
      </c>
      <c r="DO33" s="338"/>
      <c r="DP33" s="338"/>
      <c r="DQ33" s="338"/>
      <c r="DR33" s="318"/>
      <c r="DS33" s="318"/>
      <c r="DT33" s="318"/>
      <c r="DU33" s="318"/>
      <c r="DV33" s="318"/>
      <c r="DW33" s="318"/>
      <c r="DX33" s="318"/>
    </row>
    <row r="34" spans="1:128" s="345" customFormat="1" ht="15.75" thickBot="1" x14ac:dyDescent="0.25">
      <c r="A34" s="550" t="s">
        <v>329</v>
      </c>
      <c r="B34" s="340" t="s">
        <v>7</v>
      </c>
      <c r="C34" s="482">
        <f>Кадры!C34</f>
        <v>0</v>
      </c>
      <c r="D34" s="2076" t="str">
        <f t="shared" si="19"/>
        <v>КМЕДИЦИНЫ</v>
      </c>
      <c r="E34" s="2074" t="s">
        <v>16</v>
      </c>
      <c r="F34" s="341" t="s">
        <v>31</v>
      </c>
      <c r="G34" s="909"/>
      <c r="H34" s="817">
        <f t="shared" si="5"/>
        <v>100</v>
      </c>
      <c r="I34" s="1748"/>
      <c r="J34" s="860">
        <f t="shared" si="6"/>
        <v>100</v>
      </c>
      <c r="K34" s="920">
        <f>МероприятияВуза!$AR34+МероприятияВуза!$AQ34</f>
        <v>0</v>
      </c>
      <c r="L34" s="919">
        <f>МероприятияВуза!$G34+МероприятияВуза!$H34</f>
        <v>0</v>
      </c>
      <c r="M34" s="925" t="str">
        <f t="shared" si="20"/>
        <v>нет</v>
      </c>
      <c r="N34" s="923">
        <f>МероприятияВуза!$AS34</f>
        <v>0</v>
      </c>
      <c r="O34" s="919">
        <f>МероприятияВуза!$I34+МероприятияВуза!$J34</f>
        <v>0</v>
      </c>
      <c r="P34" s="925" t="str">
        <f t="shared" si="21"/>
        <v>нет</v>
      </c>
      <c r="Q34" s="1838"/>
      <c r="R34" s="817">
        <f t="shared" si="22"/>
        <v>100</v>
      </c>
      <c r="S34" s="1847"/>
      <c r="T34" s="1848"/>
      <c r="U34" s="844" t="str">
        <f t="shared" si="23"/>
        <v>нет</v>
      </c>
      <c r="V34" s="904"/>
      <c r="W34" s="909"/>
      <c r="X34" s="844" t="str">
        <f t="shared" si="7"/>
        <v>нет</v>
      </c>
      <c r="Y34" s="1857"/>
      <c r="Z34" s="1858"/>
      <c r="AA34" s="844" t="str">
        <f t="shared" si="8"/>
        <v>нет</v>
      </c>
      <c r="AB34" s="1748"/>
      <c r="AC34" s="909"/>
      <c r="AD34" s="912" t="str">
        <f t="shared" si="24"/>
        <v>нет</v>
      </c>
      <c r="AE34" s="947"/>
      <c r="AF34" s="949"/>
      <c r="AG34" s="844" t="str">
        <f t="shared" si="9"/>
        <v>нет</v>
      </c>
      <c r="AH34" s="951"/>
      <c r="AI34" s="949"/>
      <c r="AJ34" s="844" t="str">
        <f t="shared" si="25"/>
        <v>нет</v>
      </c>
      <c r="AK34" s="935">
        <f>ПрофРабота!$Q34</f>
        <v>0</v>
      </c>
      <c r="AL34" s="485">
        <f>ПрофРабота!$R34</f>
        <v>0</v>
      </c>
      <c r="AM34" s="485">
        <f>ПрофРабота!$S34</f>
        <v>0</v>
      </c>
      <c r="AN34" s="817">
        <f>ПрофРабота!$C34</f>
        <v>0</v>
      </c>
      <c r="AO34" s="923">
        <f>МероприятияВуза!$AT34</f>
        <v>0</v>
      </c>
      <c r="AP34" s="919">
        <f>МероприятияВуза!$K34</f>
        <v>0</v>
      </c>
      <c r="AQ34" s="817" t="str">
        <f t="shared" si="26"/>
        <v>нет</v>
      </c>
      <c r="AR34" s="938">
        <f>'ДПО(Финансы)'!$R34</f>
        <v>153900</v>
      </c>
      <c r="AS34" s="939">
        <f>'ДПО(Финансы)'!$D34</f>
        <v>50000</v>
      </c>
      <c r="AT34" s="510" t="e">
        <f t="shared" si="27"/>
        <v>#DIV/0!</v>
      </c>
      <c r="AU34" s="1519">
        <f t="shared" si="28"/>
        <v>307.8</v>
      </c>
      <c r="AV34" s="938">
        <f>'ДПО(Финансы)'!$R34</f>
        <v>153900</v>
      </c>
      <c r="AW34" s="939">
        <f>'ИДО(Финансы)'!$R34</f>
        <v>0</v>
      </c>
      <c r="AX34" s="939">
        <f>'ДПО(Финансы)'!$S34</f>
        <v>123384.16</v>
      </c>
      <c r="AY34" s="939">
        <f>'ИДО(Финансы)'!$S34</f>
        <v>0</v>
      </c>
      <c r="AZ34" s="839" t="e">
        <f t="shared" si="0"/>
        <v>#DIV/0!</v>
      </c>
      <c r="BA34" s="1520">
        <f t="array" ref="BA34">IF(($E34="да"),IF($AX34=0,"нет",$AV34/$AX34*100-100),"нет")</f>
        <v>24.732380558412032</v>
      </c>
      <c r="BB34" s="1521">
        <f t="array" ref="BB34">IF(($E34="да"),IF($AX34=0,"нет",$AV34/$AX34*100),"нет")</f>
        <v>124.73238055841203</v>
      </c>
      <c r="BC34" s="1522">
        <f t="shared" si="1"/>
        <v>307.8</v>
      </c>
      <c r="BD34" s="1522" t="e">
        <f t="array" ref="BD34">IF(($E34="да"),IF($AZ34&gt;$AZ$17,$AZ34/$AZ$16*BD$16,нет),нет)</f>
        <v>#DIV/0!</v>
      </c>
      <c r="BE34" s="938">
        <f>'ИДО(Финансы)'!$R34</f>
        <v>0</v>
      </c>
      <c r="BF34" s="939">
        <f>'ИДО(Финансы)'!D34</f>
        <v>0</v>
      </c>
      <c r="BG34" s="510" t="str">
        <f t="shared" si="29"/>
        <v>нет</v>
      </c>
      <c r="BH34" s="1519" t="str">
        <f t="shared" si="30"/>
        <v>нет</v>
      </c>
      <c r="BI34" s="1523">
        <f t="array" ref="BI34">IF(($E34="да")+($F34="да"),IF((BF34+AS34)=0,"нет",(AR34+BE34)/(BF34+AS34)*100),"нет")</f>
        <v>307.8</v>
      </c>
      <c r="BJ34" s="829">
        <f>Кадры!$I34</f>
        <v>0</v>
      </c>
      <c r="BK34" s="940">
        <f>Кадры!$O34</f>
        <v>0</v>
      </c>
      <c r="BL34" s="941">
        <f>Кадры!$K34</f>
        <v>0</v>
      </c>
      <c r="BM34" s="821" t="str">
        <f t="array" ref="BM34">IF(BL34=0,"нет",BK34/BL34*100)</f>
        <v>нет</v>
      </c>
      <c r="BN34" s="923">
        <f>Кадры!E34</f>
        <v>0</v>
      </c>
      <c r="BO34" s="941">
        <f>Кадры!$K34</f>
        <v>0</v>
      </c>
      <c r="BP34" s="343" t="str">
        <f t="shared" si="31"/>
        <v>нет</v>
      </c>
      <c r="BQ34" s="342" t="e">
        <f t="shared" si="32"/>
        <v>#DIV/0!</v>
      </c>
      <c r="BR34" s="940">
        <f>Кадры!$L34</f>
        <v>0</v>
      </c>
      <c r="BS34" s="1544">
        <f>Кадры!$J34</f>
        <v>0</v>
      </c>
      <c r="BT34" s="343">
        <f t="shared" si="33"/>
        <v>0</v>
      </c>
      <c r="BU34" s="817">
        <f t="shared" si="34"/>
        <v>100</v>
      </c>
      <c r="BV34" s="923">
        <f>Кадры!$D34</f>
        <v>0</v>
      </c>
      <c r="BW34" s="919">
        <f>Кадры!$F34</f>
        <v>0</v>
      </c>
      <c r="BX34" s="817" t="e">
        <f t="shared" si="35"/>
        <v>#DIV/0!</v>
      </c>
      <c r="BY34" s="940">
        <f>Кадры!$P34</f>
        <v>0</v>
      </c>
      <c r="BZ34" s="941">
        <f>Кадры!$L34</f>
        <v>0</v>
      </c>
      <c r="CA34" s="342" t="str">
        <f t="shared" si="36"/>
        <v>нет</v>
      </c>
      <c r="CB34" s="215"/>
      <c r="CC34" s="986" t="s">
        <v>335</v>
      </c>
      <c r="CD34" s="268"/>
      <c r="CE34" s="961"/>
      <c r="CF34" s="215"/>
      <c r="CG34" s="335" t="e">
        <f t="array" ref="CG34">SUM(IF($F34:$CA34=нет,0,IF($F34:$CA34&gt;=$F$16:$CA$16,$F$16:$CA$16,IF($F34:$CA34&lt;$F$17:$CA$17,0,$F34:$CA34)))*$F$11:$CA$11*($F$104:$CA$104=CG$4)/$F$16:$CA$16*($F$106:$CA$115*($B$106:$B$115=$B34)*($A$106:$A$115=$A$104)))</f>
        <v>#DIV/0!</v>
      </c>
      <c r="CH34" s="335" t="e">
        <f t="array" ref="CH34">SUM(IF($F34:$CA34=нет,0,IF($F34:$CA34&gt;=$F$16:$CA$16,$F$16:$CA$16,IF($F34:$CA34&lt;$F$17:$CA$17,0,$F34:$CA34)))*$F$11:$CA$11*($F$104:$CA$104=CH$4)/$F$16:$CA$16*($F$106:$CA$115*($B$106:$B$115=$B34)*($A$106:$A$115=$A$104)))</f>
        <v>#DIV/0!</v>
      </c>
      <c r="CI34" s="335" t="e">
        <f t="array" ref="CI34">SUM(IF($F34:$CA34=нет,0,IF($F34:$CA34&gt;=$F$16:$CA$16,$F$16:$CA$16,IF($F34:$CA34&lt;$F$17:$CA$17,0,$F34:$CA34)))*$F$11:$CA$11*($F$105:$CA$105=CI$4)/$F$16:$CA$16*($F$106:$CA$115*($B$106:$B$115=$B34)*($A$106:$A$115=$A$104)))</f>
        <v>#DIV/0!</v>
      </c>
      <c r="CJ34" s="1072" t="e">
        <f>'НУ(ВИД3)'!D35</f>
        <v>#DIV/0!</v>
      </c>
      <c r="CK34" s="335" t="e">
        <f t="array" ref="CK34">SUM(IF($F34:$CA34=нет,0,IF($F34:$CA34&gt;=$F$16:$CA$16,$F$16:$CA$16,IF($F34:$CA34&lt;$F$17:$CA$17,0,$F34:$CA34)))*$F$11:$CA$11*($F$104:$CA$104=CK$4)/$F$16:$CA$16*($F$106:$CA$115*($B$106:$B$115=$B34)*($A$106:$A$115=$A$104)))</f>
        <v>#DIV/0!</v>
      </c>
      <c r="CL34" s="335" t="e">
        <f t="array" ref="CL34">SUM(IF($F34:$CA34=нет,0,IF($F34:$CA34&gt;=$F$16:$CA$16,$F$16:$CA$16,IF($F34:$CA34&lt;$F$17:$CA$17,0,$F34:$CA34)))*$F$11:$CA$11*($F$104:$CA$104=CL$4)/$F$16:$CA$16*($F$106:$CA$115*($B$106:$B$115=$B34)*($A$106:$A$115=$A$104)))</f>
        <v>#DIV/0!</v>
      </c>
      <c r="CM34" s="335" t="e">
        <f t="array" ref="CM34">SUM(IF($F34:$CA34=нет,0,IF($F34:$CA34&gt;=$F$16:$CA$16,$F$16:$CA$16,IF($F34:$CA34&lt;$F$17:$CA$17,0,$F34:$CA34)))*$F$11:$CA$11*($F$104:$CA$104=CM$4)/$F$16:$CA$16*($F$106:$CA$115*($B$106:$B$115=$B34)*($A$106:$A$115=$A$104)))</f>
        <v>#DIV/0!</v>
      </c>
      <c r="CN34" s="215"/>
      <c r="CO34" s="1000" t="e">
        <f t="array" ref="CO34">SUM(IF($F34:$CA34=нет,0,100)*$F$11:$CA$11*($F$104:$CA$104=CO$4)/100*($F$106:$CA$115*($B$106:$B$115=$B34)*($A$106:$A$115=$A$104)))</f>
        <v>#DIV/0!</v>
      </c>
      <c r="CP34" s="1000" t="e">
        <f t="array" ref="CP34">SUM(IF($F34:$CA34=нет,0,100)*$F$11:$CA$11*($F$104:$CA$104=CP$4)/100*($F$106:$CA$115*($B$106:$B$115=$B34)*($A$106:$A$115=$A$104)))</f>
        <v>#DIV/0!</v>
      </c>
      <c r="CQ34" s="1000" t="e">
        <f t="array" ref="CQ34">SUM(IF($F34:$CA34=нет,0,100)*$F$11:$CA$11*($F$105:$CA$105=CQ$4)/100*($F$106:$CA$115*($B$106:$B$115=$B34)*($A$106:$A$115=$A$104)))</f>
        <v>#DIV/0!</v>
      </c>
      <c r="CR34" s="1057">
        <f>'НУ(ВИД3)'!E35</f>
        <v>21</v>
      </c>
      <c r="CS34" s="1000" t="e">
        <f t="array" ref="CS34">SUM(IF($F34:$CA34=нет,0,100)*$F$11:$CA$11*($F$104:$CA$104=CS$4)/100*($F$106:$CA$115*($B$106:$B$115=$B34)*($A$106:$A$115=$A$104)))</f>
        <v>#DIV/0!</v>
      </c>
      <c r="CT34" s="1000" t="e">
        <f t="array" ref="CT34">SUM(IF($F34:$CA34=нет,0,100)*$F$11:$CA$11*($F$104:$CA$104=CT$4)/100*($F$106:$CA$115*($B$106:$B$115=$B34)*($A$106:$A$115=$A$104)))</f>
        <v>#DIV/0!</v>
      </c>
      <c r="CU34" s="1000" t="e">
        <f t="array" ref="CU34">SUM(IF($F34:$CA34=нет,0,100)*$F$11:$CA$11*($F$104:$CA$104=CU$4)/100*($F$106:$CA$115*($B$106:$B$115=$B34)*($A$106:$A$115=$A$104)))</f>
        <v>#DIV/0!</v>
      </c>
      <c r="CV34" s="215"/>
      <c r="CW34" s="333" t="e">
        <f>SUM(CG34:CH34,CJ34:CM34,'Реестр ППС'!#REF!,' "Вуз зож"'!S34)</f>
        <v>#REF!</v>
      </c>
      <c r="CX34" s="333" t="e">
        <f>SUM(CO34:CP34,CR34:CU34,'Реестр ППС'!#REF!,' "Вуз зож"'!T34)</f>
        <v>#REF!</v>
      </c>
      <c r="CY34" s="332" t="e">
        <f t="shared" si="10"/>
        <v>#REF!</v>
      </c>
      <c r="CZ34" s="215"/>
      <c r="DA34" s="336" t="e">
        <f>SUM(CI34:CK34,CM34,'Реестр ППС'!#REF!,' "Вуз зож"'!S34)</f>
        <v>#REF!</v>
      </c>
      <c r="DB34" s="336" t="e">
        <f>SUM(CQ34:CS34,CU34,'Реестр ППС'!#REF!,' "Вуз зож"'!T34)</f>
        <v>#REF!</v>
      </c>
      <c r="DC34" s="332" t="e">
        <f t="shared" si="37"/>
        <v>#REF!</v>
      </c>
      <c r="DD34" s="961"/>
      <c r="DE34" s="337" t="e">
        <f t="shared" si="11"/>
        <v>#DIV/0!</v>
      </c>
      <c r="DF34" s="337" t="e">
        <f t="shared" si="12"/>
        <v>#DIV/0!</v>
      </c>
      <c r="DG34" s="337" t="e">
        <f t="shared" si="13"/>
        <v>#DIV/0!</v>
      </c>
      <c r="DH34" s="337" t="e">
        <f t="shared" si="14"/>
        <v>#DIV/0!</v>
      </c>
      <c r="DI34" s="337" t="e">
        <f t="shared" si="15"/>
        <v>#DIV/0!</v>
      </c>
      <c r="DJ34" s="337" t="e">
        <f t="shared" si="16"/>
        <v>#DIV/0!</v>
      </c>
      <c r="DK34" s="337" t="e">
        <f t="shared" si="17"/>
        <v>#DIV/0!</v>
      </c>
      <c r="DL34" s="334" t="str">
        <f t="shared" si="4"/>
        <v>Урологии и андрологии с курсом ДПО</v>
      </c>
      <c r="DM34" s="215" t="str">
        <f t="shared" si="18"/>
        <v>КМЕДИЦИНЫ</v>
      </c>
      <c r="DN34" s="1505" t="e">
        <f t="shared" si="38"/>
        <v>#REF!</v>
      </c>
      <c r="DO34" s="338"/>
      <c r="DP34" s="338"/>
      <c r="DQ34" s="338"/>
      <c r="DR34" s="318"/>
      <c r="DS34" s="318"/>
      <c r="DT34" s="318"/>
      <c r="DU34" s="318"/>
      <c r="DV34" s="318"/>
      <c r="DW34" s="318"/>
      <c r="DX34" s="318"/>
    </row>
    <row r="35" spans="1:128" s="215" customFormat="1" ht="15.75" thickBot="1" x14ac:dyDescent="0.25">
      <c r="A35" s="550" t="s">
        <v>337</v>
      </c>
      <c r="B35" s="340" t="s">
        <v>7</v>
      </c>
      <c r="C35" s="482">
        <f>Кадры!C35</f>
        <v>0</v>
      </c>
      <c r="D35" s="2076" t="str">
        <f t="shared" si="19"/>
        <v>КМЕДИЦИНЫ</v>
      </c>
      <c r="E35" s="2074" t="s">
        <v>16</v>
      </c>
      <c r="F35" s="341" t="s">
        <v>31</v>
      </c>
      <c r="G35" s="909"/>
      <c r="H35" s="817">
        <f t="shared" si="5"/>
        <v>100</v>
      </c>
      <c r="I35" s="1748"/>
      <c r="J35" s="860">
        <f t="shared" si="6"/>
        <v>100</v>
      </c>
      <c r="K35" s="920">
        <f>МероприятияВуза!$AR35+МероприятияВуза!$AQ35</f>
        <v>0</v>
      </c>
      <c r="L35" s="919">
        <f>МероприятияВуза!$G35+МероприятияВуза!$H35</f>
        <v>0</v>
      </c>
      <c r="M35" s="925" t="str">
        <f t="shared" si="20"/>
        <v>нет</v>
      </c>
      <c r="N35" s="923">
        <f>МероприятияВуза!$AS35</f>
        <v>0</v>
      </c>
      <c r="O35" s="919">
        <f>МероприятияВуза!$I35+МероприятияВуза!$J35</f>
        <v>0</v>
      </c>
      <c r="P35" s="925" t="str">
        <f t="shared" si="21"/>
        <v>нет</v>
      </c>
      <c r="Q35" s="1844"/>
      <c r="R35" s="817">
        <f t="shared" si="22"/>
        <v>100</v>
      </c>
      <c r="S35" s="1847"/>
      <c r="T35" s="1848"/>
      <c r="U35" s="844" t="str">
        <f t="shared" si="23"/>
        <v>нет</v>
      </c>
      <c r="V35" s="904"/>
      <c r="W35" s="909"/>
      <c r="X35" s="844" t="str">
        <f t="shared" si="7"/>
        <v>нет</v>
      </c>
      <c r="Y35" s="1857"/>
      <c r="Z35" s="1858"/>
      <c r="AA35" s="844" t="str">
        <f t="shared" si="8"/>
        <v>нет</v>
      </c>
      <c r="AB35" s="1748"/>
      <c r="AC35" s="909"/>
      <c r="AD35" s="912" t="str">
        <f t="shared" si="24"/>
        <v>нет</v>
      </c>
      <c r="AE35" s="947"/>
      <c r="AF35" s="949"/>
      <c r="AG35" s="844" t="str">
        <f t="shared" si="9"/>
        <v>нет</v>
      </c>
      <c r="AH35" s="951"/>
      <c r="AI35" s="949"/>
      <c r="AJ35" s="844" t="str">
        <f t="shared" si="25"/>
        <v>нет</v>
      </c>
      <c r="AK35" s="935">
        <f>ПрофРабота!$Q35</f>
        <v>0</v>
      </c>
      <c r="AL35" s="485">
        <f>ПрофРабота!$R35</f>
        <v>0</v>
      </c>
      <c r="AM35" s="485">
        <f>ПрофРабота!$S35</f>
        <v>0</v>
      </c>
      <c r="AN35" s="817">
        <f>ПрофРабота!$C35</f>
        <v>0</v>
      </c>
      <c r="AO35" s="923">
        <f>МероприятияВуза!$AT35</f>
        <v>0</v>
      </c>
      <c r="AP35" s="919">
        <f>МероприятияВуза!$K35</f>
        <v>0</v>
      </c>
      <c r="AQ35" s="817" t="str">
        <f t="shared" si="26"/>
        <v>нет</v>
      </c>
      <c r="AR35" s="938">
        <f>'ДПО(Финансы)'!$R35</f>
        <v>0</v>
      </c>
      <c r="AS35" s="939">
        <f>'ДПО(Финансы)'!$D35</f>
        <v>30000</v>
      </c>
      <c r="AT35" s="510">
        <f t="shared" si="27"/>
        <v>0</v>
      </c>
      <c r="AU35" s="1519">
        <f t="shared" si="28"/>
        <v>0</v>
      </c>
      <c r="AV35" s="938">
        <f>'ДПО(Финансы)'!$R35</f>
        <v>0</v>
      </c>
      <c r="AW35" s="939">
        <f>'ИДО(Финансы)'!$R35</f>
        <v>0</v>
      </c>
      <c r="AX35" s="939">
        <f>'ДПО(Финансы)'!$S35</f>
        <v>89109.7</v>
      </c>
      <c r="AY35" s="939">
        <f>'ИДО(Финансы)'!$S35</f>
        <v>0</v>
      </c>
      <c r="AZ35" s="839" t="e">
        <f t="shared" si="0"/>
        <v>#DIV/0!</v>
      </c>
      <c r="BA35" s="1520">
        <f t="array" ref="BA35">IF(($E35="да"),IF($AX35=0,"нет",$AV35/$AX35*100-100),"нет")</f>
        <v>-100</v>
      </c>
      <c r="BB35" s="1521">
        <f t="array" ref="BB35">IF(($E35="да"),IF($AX35=0,"нет",$AV35/$AX35*100),"нет")</f>
        <v>0</v>
      </c>
      <c r="BC35" s="1522">
        <f t="shared" si="1"/>
        <v>0</v>
      </c>
      <c r="BD35" s="1522" t="e">
        <f t="array" ref="BD35">IF(($E35="да"),IF($AZ35&gt;$AZ$17,$AZ35/$AZ$16*BD$16,нет),нет)</f>
        <v>#DIV/0!</v>
      </c>
      <c r="BE35" s="938">
        <f>'ИДО(Финансы)'!$R35</f>
        <v>0</v>
      </c>
      <c r="BF35" s="939">
        <f>'ИДО(Финансы)'!D35</f>
        <v>0</v>
      </c>
      <c r="BG35" s="510" t="str">
        <f t="shared" si="29"/>
        <v>нет</v>
      </c>
      <c r="BH35" s="1519" t="str">
        <f t="shared" si="30"/>
        <v>нет</v>
      </c>
      <c r="BI35" s="1523">
        <f t="array" ref="BI35">IF(($E35="да")+($F35="да"),IF((BF35+AS35)=0,"нет",(AR35+BE35)/(BF35+AS35)*100),"нет")</f>
        <v>0</v>
      </c>
      <c r="BJ35" s="829">
        <f>Кадры!$I35</f>
        <v>0</v>
      </c>
      <c r="BK35" s="940">
        <f>Кадры!$O35</f>
        <v>0</v>
      </c>
      <c r="BL35" s="941">
        <f>Кадры!$K35</f>
        <v>0</v>
      </c>
      <c r="BM35" s="821" t="str">
        <f t="array" ref="BM35">IF(BL35=0,"нет",BK35/BL35*100)</f>
        <v>нет</v>
      </c>
      <c r="BN35" s="923">
        <f>Кадры!E35</f>
        <v>0</v>
      </c>
      <c r="BO35" s="941">
        <f>Кадры!$K35</f>
        <v>0</v>
      </c>
      <c r="BP35" s="343" t="str">
        <f t="shared" si="31"/>
        <v>нет</v>
      </c>
      <c r="BQ35" s="342" t="e">
        <f t="shared" si="32"/>
        <v>#DIV/0!</v>
      </c>
      <c r="BR35" s="940">
        <f>Кадры!$L35</f>
        <v>0</v>
      </c>
      <c r="BS35" s="1544">
        <f>Кадры!$J35</f>
        <v>0</v>
      </c>
      <c r="BT35" s="343">
        <f t="shared" si="33"/>
        <v>0</v>
      </c>
      <c r="BU35" s="817">
        <f t="shared" si="34"/>
        <v>100</v>
      </c>
      <c r="BV35" s="923">
        <f>Кадры!$D35</f>
        <v>0</v>
      </c>
      <c r="BW35" s="919">
        <f>Кадры!$F35</f>
        <v>0</v>
      </c>
      <c r="BX35" s="817" t="e">
        <f t="shared" si="35"/>
        <v>#DIV/0!</v>
      </c>
      <c r="BY35" s="940">
        <f>Кадры!$P35</f>
        <v>0</v>
      </c>
      <c r="BZ35" s="941">
        <f>Кадры!$L35</f>
        <v>0</v>
      </c>
      <c r="CA35" s="342" t="str">
        <f t="shared" si="36"/>
        <v>нет</v>
      </c>
      <c r="CC35" s="986" t="s">
        <v>335</v>
      </c>
      <c r="CD35" s="268"/>
      <c r="CE35" s="961"/>
      <c r="CG35" s="335" t="e">
        <f t="array" ref="CG35">SUM(IF($F35:$CA35=нет,0,IF($F35:$CA35&gt;=$F$16:$CA$16,$F$16:$CA$16,IF($F35:$CA35&lt;$F$17:$CA$17,0,$F35:$CA35)))*$F$11:$CA$11*($F$104:$CA$104=CG$4)/$F$16:$CA$16*($F$106:$CA$115*($B$106:$B$115=$B35)*($A$106:$A$115=$A$104)))</f>
        <v>#DIV/0!</v>
      </c>
      <c r="CH35" s="335" t="e">
        <f t="array" ref="CH35">SUM(IF($F35:$CA35=нет,0,IF($F35:$CA35&gt;=$F$16:$CA$16,$F$16:$CA$16,IF($F35:$CA35&lt;$F$17:$CA$17,0,$F35:$CA35)))*$F$11:$CA$11*($F$104:$CA$104=CH$4)/$F$16:$CA$16*($F$106:$CA$115*($B$106:$B$115=$B35)*($A$106:$A$115=$A$104)))</f>
        <v>#DIV/0!</v>
      </c>
      <c r="CI35" s="335" t="e">
        <f t="array" ref="CI35">SUM(IF($F35:$CA35=нет,0,IF($F35:$CA35&gt;=$F$16:$CA$16,$F$16:$CA$16,IF($F35:$CA35&lt;$F$17:$CA$17,0,$F35:$CA35)))*$F$11:$CA$11*($F$105:$CA$105=CI$4)/$F$16:$CA$16*($F$106:$CA$115*($B$106:$B$115=$B35)*($A$106:$A$115=$A$104)))</f>
        <v>#DIV/0!</v>
      </c>
      <c r="CJ35" s="1072" t="e">
        <f>'НУ(ВИД3)'!D36</f>
        <v>#DIV/0!</v>
      </c>
      <c r="CK35" s="335" t="e">
        <f t="array" ref="CK35">SUM(IF($F35:$CA35=нет,0,IF($F35:$CA35&gt;=$F$16:$CA$16,$F$16:$CA$16,IF($F35:$CA35&lt;$F$17:$CA$17,0,$F35:$CA35)))*$F$11:$CA$11*($F$104:$CA$104=CK$4)/$F$16:$CA$16*($F$106:$CA$115*($B$106:$B$115=$B35)*($A$106:$A$115=$A$104)))</f>
        <v>#DIV/0!</v>
      </c>
      <c r="CL35" s="335" t="e">
        <f t="array" ref="CL35">SUM(IF($F35:$CA35=нет,0,IF($F35:$CA35&gt;=$F$16:$CA$16,$F$16:$CA$16,IF($F35:$CA35&lt;$F$17:$CA$17,0,$F35:$CA35)))*$F$11:$CA$11*($F$104:$CA$104=CL$4)/$F$16:$CA$16*($F$106:$CA$115*($B$106:$B$115=$B35)*($A$106:$A$115=$A$104)))</f>
        <v>#DIV/0!</v>
      </c>
      <c r="CM35" s="335" t="e">
        <f t="array" ref="CM35">SUM(IF($F35:$CA35=нет,0,IF($F35:$CA35&gt;=$F$16:$CA$16,$F$16:$CA$16,IF($F35:$CA35&lt;$F$17:$CA$17,0,$F35:$CA35)))*$F$11:$CA$11*($F$104:$CA$104=CM$4)/$F$16:$CA$16*($F$106:$CA$115*($B$106:$B$115=$B35)*($A$106:$A$115=$A$104)))</f>
        <v>#DIV/0!</v>
      </c>
      <c r="CO35" s="1000" t="e">
        <f t="array" ref="CO35">SUM(IF($F35:$CA35=нет,0,100)*$F$11:$CA$11*($F$104:$CA$104=CO$4)/100*($F$106:$CA$115*($B$106:$B$115=$B35)*($A$106:$A$115=$A$104)))</f>
        <v>#DIV/0!</v>
      </c>
      <c r="CP35" s="1000" t="e">
        <f t="array" ref="CP35">SUM(IF($F35:$CA35=нет,0,100)*$F$11:$CA$11*($F$104:$CA$104=CP$4)/100*($F$106:$CA$115*($B$106:$B$115=$B35)*($A$106:$A$115=$A$104)))</f>
        <v>#DIV/0!</v>
      </c>
      <c r="CQ35" s="1000" t="e">
        <f t="array" ref="CQ35">SUM(IF($F35:$CA35=нет,0,100)*$F$11:$CA$11*($F$105:$CA$105=CQ$4)/100*($F$106:$CA$115*($B$106:$B$115=$B35)*($A$106:$A$115=$A$104)))</f>
        <v>#DIV/0!</v>
      </c>
      <c r="CR35" s="1057">
        <f>'НУ(ВИД3)'!E36</f>
        <v>21</v>
      </c>
      <c r="CS35" s="1000" t="e">
        <f t="array" ref="CS35">SUM(IF($F35:$CA35=нет,0,100)*$F$11:$CA$11*($F$104:$CA$104=CS$4)/100*($F$106:$CA$115*($B$106:$B$115=$B35)*($A$106:$A$115=$A$104)))</f>
        <v>#DIV/0!</v>
      </c>
      <c r="CT35" s="1000" t="e">
        <f t="array" ref="CT35">SUM(IF($F35:$CA35=нет,0,100)*$F$11:$CA$11*($F$104:$CA$104=CT$4)/100*($F$106:$CA$115*($B$106:$B$115=$B35)*($A$106:$A$115=$A$104)))</f>
        <v>#DIV/0!</v>
      </c>
      <c r="CU35" s="1000" t="e">
        <f t="array" ref="CU35">SUM(IF($F35:$CA35=нет,0,100)*$F$11:$CA$11*($F$104:$CA$104=CU$4)/100*($F$106:$CA$115*($B$106:$B$115=$B35)*($A$106:$A$115=$A$104)))</f>
        <v>#DIV/0!</v>
      </c>
      <c r="CW35" s="333" t="e">
        <f>SUM(CG35:CH35,CJ35:CM35,'Реестр ППС'!#REF!,' "Вуз зож"'!S35)</f>
        <v>#REF!</v>
      </c>
      <c r="CX35" s="333" t="e">
        <f>SUM(CO35:CP35,CR35:CU35,'Реестр ППС'!#REF!,' "Вуз зож"'!T35)</f>
        <v>#REF!</v>
      </c>
      <c r="CY35" s="332" t="e">
        <f t="shared" si="10"/>
        <v>#REF!</v>
      </c>
      <c r="DA35" s="336" t="e">
        <f>SUM(CI35:CK35,CM35,'Реестр ППС'!#REF!,' "Вуз зож"'!S35)</f>
        <v>#REF!</v>
      </c>
      <c r="DB35" s="336" t="e">
        <f>SUM(CQ35:CS35,CU35,'Реестр ППС'!#REF!,' "Вуз зож"'!T35)</f>
        <v>#REF!</v>
      </c>
      <c r="DC35" s="332" t="e">
        <f t="shared" si="37"/>
        <v>#REF!</v>
      </c>
      <c r="DD35" s="961"/>
      <c r="DE35" s="337" t="e">
        <f t="shared" si="11"/>
        <v>#DIV/0!</v>
      </c>
      <c r="DF35" s="337" t="e">
        <f t="shared" si="12"/>
        <v>#DIV/0!</v>
      </c>
      <c r="DG35" s="337" t="e">
        <f t="shared" si="13"/>
        <v>#DIV/0!</v>
      </c>
      <c r="DH35" s="337" t="e">
        <f t="shared" si="14"/>
        <v>#DIV/0!</v>
      </c>
      <c r="DI35" s="337" t="e">
        <f t="shared" si="15"/>
        <v>#DIV/0!</v>
      </c>
      <c r="DJ35" s="337" t="e">
        <f t="shared" si="16"/>
        <v>#DIV/0!</v>
      </c>
      <c r="DK35" s="337" t="e">
        <f t="shared" si="17"/>
        <v>#DIV/0!</v>
      </c>
      <c r="DL35" s="334" t="str">
        <f t="shared" si="4"/>
        <v>Факультетской терапии и профессиональных болезней</v>
      </c>
      <c r="DM35" s="215" t="str">
        <f t="shared" si="18"/>
        <v>КМЕДИЦИНЫ</v>
      </c>
      <c r="DN35" s="1505" t="e">
        <f t="shared" si="38"/>
        <v>#REF!</v>
      </c>
      <c r="DO35" s="338"/>
      <c r="DP35" s="338"/>
      <c r="DQ35" s="338"/>
      <c r="DR35" s="318"/>
      <c r="DS35" s="318"/>
      <c r="DT35" s="318"/>
      <c r="DU35" s="318"/>
      <c r="DV35" s="318"/>
      <c r="DW35" s="318"/>
      <c r="DX35" s="318"/>
    </row>
    <row r="36" spans="1:128" s="215" customFormat="1" ht="15.75" thickBot="1" x14ac:dyDescent="0.25">
      <c r="A36" s="1001" t="s">
        <v>372</v>
      </c>
      <c r="B36" s="974" t="s">
        <v>7</v>
      </c>
      <c r="C36" s="1002">
        <f>Кадры!C36</f>
        <v>0</v>
      </c>
      <c r="D36" s="999" t="str">
        <f t="shared" si="19"/>
        <v>КМЕДИЦИНЫ</v>
      </c>
      <c r="E36" s="1004" t="s">
        <v>16</v>
      </c>
      <c r="F36" s="1004" t="s">
        <v>31</v>
      </c>
      <c r="G36" s="1005"/>
      <c r="H36" s="1752">
        <f t="shared" si="5"/>
        <v>100</v>
      </c>
      <c r="I36" s="1749"/>
      <c r="J36" s="1007">
        <f t="shared" si="6"/>
        <v>100</v>
      </c>
      <c r="K36" s="1008">
        <f>МероприятияВуза!$AR36+МероприятияВуза!$AQ36</f>
        <v>0</v>
      </c>
      <c r="L36" s="1009">
        <f>МероприятияВуза!$G36+МероприятияВуза!$H36</f>
        <v>0</v>
      </c>
      <c r="M36" s="1010" t="str">
        <f t="shared" si="20"/>
        <v>нет</v>
      </c>
      <c r="N36" s="1011">
        <f>МероприятияВуза!$AS36</f>
        <v>0</v>
      </c>
      <c r="O36" s="1009">
        <f>МероприятияВуза!$I36+МероприятияВуза!$J36</f>
        <v>0</v>
      </c>
      <c r="P36" s="1010" t="str">
        <f t="shared" si="21"/>
        <v>нет</v>
      </c>
      <c r="Q36" s="1841"/>
      <c r="R36" s="817">
        <f t="shared" si="22"/>
        <v>100</v>
      </c>
      <c r="S36" s="1851"/>
      <c r="T36" s="1850"/>
      <c r="U36" s="1013" t="str">
        <f t="shared" si="23"/>
        <v>нет</v>
      </c>
      <c r="V36" s="1012"/>
      <c r="W36" s="1005"/>
      <c r="X36" s="1013" t="str">
        <f t="shared" si="7"/>
        <v>нет</v>
      </c>
      <c r="Y36" s="1861"/>
      <c r="Z36" s="1860"/>
      <c r="AA36" s="1750" t="str">
        <f t="shared" si="8"/>
        <v>нет</v>
      </c>
      <c r="AB36" s="1749"/>
      <c r="AC36" s="1005"/>
      <c r="AD36" s="1013" t="str">
        <f t="shared" si="24"/>
        <v>нет</v>
      </c>
      <c r="AE36" s="1015"/>
      <c r="AF36" s="1016"/>
      <c r="AG36" s="1013" t="str">
        <f t="shared" si="9"/>
        <v>нет</v>
      </c>
      <c r="AH36" s="1017"/>
      <c r="AI36" s="1016"/>
      <c r="AJ36" s="1013" t="str">
        <f t="shared" si="25"/>
        <v>нет</v>
      </c>
      <c r="AK36" s="1018">
        <f>ПрофРабота!$Q36</f>
        <v>0</v>
      </c>
      <c r="AL36" s="997">
        <f>ПрофРабота!$R36</f>
        <v>0</v>
      </c>
      <c r="AM36" s="997">
        <f>ПрофРабота!$S36</f>
        <v>0</v>
      </c>
      <c r="AN36" s="933">
        <f>ПрофРабота!$C36</f>
        <v>0</v>
      </c>
      <c r="AO36" s="1011">
        <f>МероприятияВуза!$AT36</f>
        <v>0</v>
      </c>
      <c r="AP36" s="1009">
        <f>МероприятияВуза!$K36</f>
        <v>0</v>
      </c>
      <c r="AQ36" s="933" t="str">
        <f t="shared" si="26"/>
        <v>нет</v>
      </c>
      <c r="AR36" s="1064">
        <f>'ДПО(Финансы)'!$R36</f>
        <v>296900</v>
      </c>
      <c r="AS36" s="1020">
        <f>'ДПО(Финансы)'!$D36</f>
        <v>130000</v>
      </c>
      <c r="AT36" s="1021" t="e">
        <f t="shared" si="27"/>
        <v>#DIV/0!</v>
      </c>
      <c r="AU36" s="1524">
        <f t="shared" si="28"/>
        <v>228.38461538461536</v>
      </c>
      <c r="AV36" s="1019">
        <f>'ДПО(Финансы)'!$R36</f>
        <v>296900</v>
      </c>
      <c r="AW36" s="1020">
        <f>'ИДО(Финансы)'!$R36</f>
        <v>0</v>
      </c>
      <c r="AX36" s="1020">
        <f>'ДПО(Финансы)'!$S36</f>
        <v>57200</v>
      </c>
      <c r="AY36" s="1020">
        <f>'ИДО(Финансы)'!$S36</f>
        <v>0</v>
      </c>
      <c r="AZ36" s="1024" t="e">
        <f t="shared" si="0"/>
        <v>#DIV/0!</v>
      </c>
      <c r="BA36" s="1525">
        <f t="array" ref="BA36">IF(($E36="да"),IF($AX36=0,"нет",$AV36/$AX36*100-100),"нет")</f>
        <v>419.05594405594411</v>
      </c>
      <c r="BB36" s="1526">
        <f t="array" ref="BB36">IF(($E36="да"),IF($AX36=0,"нет",$AV36/$AX36*100),"нет")</f>
        <v>519.05594405594411</v>
      </c>
      <c r="BC36" s="1527">
        <f t="shared" si="1"/>
        <v>228.38461538461536</v>
      </c>
      <c r="BD36" s="1527" t="e">
        <f t="array" ref="BD36">IF(($E36="да"),IF($AZ36&gt;$AZ$17,$AZ36/$AZ$16*BD$16,нет),нет)</f>
        <v>#DIV/0!</v>
      </c>
      <c r="BE36" s="1064">
        <f>'ИДО(Финансы)'!$R36</f>
        <v>0</v>
      </c>
      <c r="BF36" s="1020">
        <f>'ИДО(Финансы)'!D36</f>
        <v>0</v>
      </c>
      <c r="BG36" s="1021" t="str">
        <f t="shared" si="29"/>
        <v>нет</v>
      </c>
      <c r="BH36" s="1524" t="str">
        <f t="shared" si="30"/>
        <v>нет</v>
      </c>
      <c r="BI36" s="1528">
        <f t="array" ref="BI36">IF(($E36="да")+($F36="да"),IF((BF36+AS36)=0,"нет",(AR36+BE36)/(BF36+AS36)*100),"нет")</f>
        <v>228.38461538461536</v>
      </c>
      <c r="BJ36" s="1026">
        <f>Кадры!$I36</f>
        <v>0</v>
      </c>
      <c r="BK36" s="1022">
        <f>Кадры!$O36</f>
        <v>0</v>
      </c>
      <c r="BL36" s="1023">
        <f>Кадры!$K36</f>
        <v>0</v>
      </c>
      <c r="BM36" s="1027" t="str">
        <f t="array" ref="BM36">IF(BL36=0,"нет",BK36/BL36*100)</f>
        <v>нет</v>
      </c>
      <c r="BN36" s="1011">
        <f>Кадры!E36</f>
        <v>0</v>
      </c>
      <c r="BO36" s="1023">
        <f>Кадры!$K36</f>
        <v>0</v>
      </c>
      <c r="BP36" s="1025" t="str">
        <f t="shared" si="31"/>
        <v>нет</v>
      </c>
      <c r="BQ36" s="342" t="e">
        <f t="shared" si="32"/>
        <v>#DIV/0!</v>
      </c>
      <c r="BR36" s="1022">
        <f>Кадры!$L36</f>
        <v>0</v>
      </c>
      <c r="BS36" s="1545">
        <f>Кадры!$J36</f>
        <v>0</v>
      </c>
      <c r="BT36" s="1025">
        <f t="shared" si="33"/>
        <v>0</v>
      </c>
      <c r="BU36" s="933">
        <f t="shared" si="34"/>
        <v>100</v>
      </c>
      <c r="BV36" s="1008">
        <f>Кадры!$D36</f>
        <v>0</v>
      </c>
      <c r="BW36" s="1009">
        <f>Кадры!$F36</f>
        <v>0</v>
      </c>
      <c r="BX36" s="933" t="e">
        <f t="shared" si="35"/>
        <v>#DIV/0!</v>
      </c>
      <c r="BY36" s="1022">
        <f>Кадры!$P36</f>
        <v>0</v>
      </c>
      <c r="BZ36" s="1023">
        <f>Кадры!$L36</f>
        <v>0</v>
      </c>
      <c r="CA36" s="1006" t="str">
        <f t="shared" si="36"/>
        <v>нет</v>
      </c>
      <c r="CC36" s="999" t="s">
        <v>335</v>
      </c>
      <c r="CD36" s="268"/>
      <c r="CE36" s="961"/>
      <c r="CG36" s="1028" t="e">
        <f t="array" ref="CG36">SUM(IF($F36:$CA36=нет,0,IF($F36:$CA36&gt;=$F$16:$CA$16,$F$16:$CA$16,IF($F36:$CA36&lt;$F$17:$CA$17,0,$F36:$CA36)))*$F$11:$CA$11*($F$104:$CA$104=CG$4)/$F$16:$CA$16*($F$106:$CA$115*($B$106:$B$115=$B36)*($A$106:$A$115=$A$104)))</f>
        <v>#DIV/0!</v>
      </c>
      <c r="CH36" s="1028" t="e">
        <f t="array" ref="CH36">SUM(IF($F36:$CA36=нет,0,IF($F36:$CA36&gt;=$F$16:$CA$16,$F$16:$CA$16,IF($F36:$CA36&lt;$F$17:$CA$17,0,$F36:$CA36)))*$F$11:$CA$11*($F$104:$CA$104=CH$4)/$F$16:$CA$16*($F$106:$CA$115*($B$106:$B$115=$B36)*($A$106:$A$115=$A$104)))</f>
        <v>#DIV/0!</v>
      </c>
      <c r="CI36" s="1028" t="e">
        <f t="array" ref="CI36">SUM(IF($F36:$CA36=нет,0,IF($F36:$CA36&gt;=$F$16:$CA$16,$F$16:$CA$16,IF($F36:$CA36&lt;$F$17:$CA$17,0,$F36:$CA36)))*$F$11:$CA$11*($F$105:$CA$105=CI$4)/$F$16:$CA$16*($F$106:$CA$115*($B$106:$B$115=$B36)*($A$106:$A$115=$A$104)))</f>
        <v>#DIV/0!</v>
      </c>
      <c r="CJ36" s="1072" t="e">
        <f>'НУ(ВИД3)'!D37</f>
        <v>#DIV/0!</v>
      </c>
      <c r="CK36" s="1028" t="e">
        <f t="array" ref="CK36">SUM(IF($F36:$CA36=нет,0,IF($F36:$CA36&gt;=$F$16:$CA$16,$F$16:$CA$16,IF($F36:$CA36&lt;$F$17:$CA$17,0,$F36:$CA36)))*$F$11:$CA$11*($F$104:$CA$104=CK$4)/$F$16:$CA$16*($F$106:$CA$115*($B$106:$B$115=$B36)*($A$106:$A$115=$A$104)))</f>
        <v>#DIV/0!</v>
      </c>
      <c r="CL36" s="1028" t="e">
        <f t="array" ref="CL36">SUM(IF($F36:$CA36=нет,0,IF($F36:$CA36&gt;=$F$16:$CA$16,$F$16:$CA$16,IF($F36:$CA36&lt;$F$17:$CA$17,0,$F36:$CA36)))*$F$11:$CA$11*($F$104:$CA$104=CL$4)/$F$16:$CA$16*($F$106:$CA$115*($B$106:$B$115=$B36)*($A$106:$A$115=$A$104)))</f>
        <v>#DIV/0!</v>
      </c>
      <c r="CM36" s="1028" t="e">
        <f t="array" ref="CM36">SUM(IF($F36:$CA36=нет,0,IF($F36:$CA36&gt;=$F$16:$CA$16,$F$16:$CA$16,IF($F36:$CA36&lt;$F$17:$CA$17,0,$F36:$CA36)))*$F$11:$CA$11*($F$104:$CA$104=CM$4)/$F$16:$CA$16*($F$106:$CA$115*($B$106:$B$115=$B36)*($A$106:$A$115=$A$104)))</f>
        <v>#DIV/0!</v>
      </c>
      <c r="CO36" s="1029" t="e">
        <f t="array" ref="CO36">SUM(IF($F36:$CA36=нет,0,100)*$F$11:$CA$11*($F$104:$CA$104=CO$4)/100*($F$106:$CA$115*($B$106:$B$115=$B36)*($A$106:$A$115=$A$104)))</f>
        <v>#DIV/0!</v>
      </c>
      <c r="CP36" s="1029" t="e">
        <f t="array" ref="CP36">SUM(IF($F36:$CA36=нет,0,100)*$F$11:$CA$11*($F$104:$CA$104=CP$4)/100*($F$106:$CA$115*($B$106:$B$115=$B36)*($A$106:$A$115=$A$104)))</f>
        <v>#DIV/0!</v>
      </c>
      <c r="CQ36" s="1029" t="e">
        <f t="array" ref="CQ36">SUM(IF($F36:$CA36=нет,0,100)*$F$11:$CA$11*($F$105:$CA$105=CQ$4)/100*($F$106:$CA$115*($B$106:$B$115=$B36)*($A$106:$A$115=$A$104)))</f>
        <v>#DIV/0!</v>
      </c>
      <c r="CR36" s="1057">
        <f>'НУ(ВИД3)'!E37</f>
        <v>21</v>
      </c>
      <c r="CS36" s="1029" t="e">
        <f t="array" ref="CS36">SUM(IF($F36:$CA36=нет,0,100)*$F$11:$CA$11*($F$104:$CA$104=CS$4)/100*($F$106:$CA$115*($B$106:$B$115=$B36)*($A$106:$A$115=$A$104)))</f>
        <v>#DIV/0!</v>
      </c>
      <c r="CT36" s="1029" t="e">
        <f t="array" ref="CT36">SUM(IF($F36:$CA36=нет,0,100)*$F$11:$CA$11*($F$104:$CA$104=CT$4)/100*($F$106:$CA$115*($B$106:$B$115=$B36)*($A$106:$A$115=$A$104)))</f>
        <v>#DIV/0!</v>
      </c>
      <c r="CU36" s="1029" t="e">
        <f t="array" ref="CU36">SUM(IF($F36:$CA36=нет,0,100)*$F$11:$CA$11*($F$104:$CA$104=CU$4)/100*($F$106:$CA$115*($B$106:$B$115=$B36)*($A$106:$A$115=$A$104)))</f>
        <v>#DIV/0!</v>
      </c>
      <c r="CW36" s="1030" t="e">
        <f>SUM(CG36:CH36,CJ36:CM36,'Реестр ППС'!#REF!,' "Вуз зож"'!S36)</f>
        <v>#REF!</v>
      </c>
      <c r="CX36" s="1030" t="e">
        <f>SUM(CO36:CP36,CR36:CU36,'Реестр ППС'!#REF!,' "Вуз зож"'!T36)</f>
        <v>#REF!</v>
      </c>
      <c r="CY36" s="1031" t="e">
        <f t="shared" si="10"/>
        <v>#REF!</v>
      </c>
      <c r="DA36" s="336" t="e">
        <f>SUM(CI36:CK36,CM36,'Реестр ППС'!#REF!,' "Вуз зож"'!S36)</f>
        <v>#REF!</v>
      </c>
      <c r="DB36" s="336" t="e">
        <f>SUM(CQ36:CS36,CU36,'Реестр ППС'!#REF!,' "Вуз зож"'!T36)</f>
        <v>#REF!</v>
      </c>
      <c r="DC36" s="1031" t="e">
        <f t="shared" si="37"/>
        <v>#REF!</v>
      </c>
      <c r="DD36" s="961"/>
      <c r="DE36" s="1032" t="e">
        <f t="shared" si="11"/>
        <v>#DIV/0!</v>
      </c>
      <c r="DF36" s="1032" t="e">
        <f t="shared" si="12"/>
        <v>#DIV/0!</v>
      </c>
      <c r="DG36" s="1032" t="e">
        <f t="shared" si="13"/>
        <v>#DIV/0!</v>
      </c>
      <c r="DH36" s="1032" t="e">
        <f t="shared" si="14"/>
        <v>#DIV/0!</v>
      </c>
      <c r="DI36" s="1032" t="e">
        <f t="shared" si="15"/>
        <v>#DIV/0!</v>
      </c>
      <c r="DJ36" s="1032" t="e">
        <f t="shared" si="16"/>
        <v>#DIV/0!</v>
      </c>
      <c r="DK36" s="1032" t="e">
        <f t="shared" si="17"/>
        <v>#DIV/0!</v>
      </c>
      <c r="DL36" s="334" t="str">
        <f t="shared" si="4"/>
        <v>Факультетской хирургии имени профессора И.И. Неймарка с курсом ДПО</v>
      </c>
      <c r="DM36" s="215" t="str">
        <f t="shared" si="18"/>
        <v>КМЕДИЦИНЫ</v>
      </c>
      <c r="DN36" s="1506" t="e">
        <f t="shared" si="38"/>
        <v>#REF!</v>
      </c>
      <c r="DO36" s="338"/>
      <c r="DP36" s="338"/>
      <c r="DQ36" s="338"/>
      <c r="DR36" s="318"/>
      <c r="DS36" s="318"/>
      <c r="DT36" s="318"/>
      <c r="DU36" s="318"/>
      <c r="DV36" s="318"/>
      <c r="DW36" s="318"/>
      <c r="DX36" s="318"/>
    </row>
    <row r="37" spans="1:128" s="1055" customFormat="1" ht="15.75" thickBot="1" x14ac:dyDescent="0.25">
      <c r="A37" s="569" t="s">
        <v>407</v>
      </c>
      <c r="B37" s="976" t="s">
        <v>7</v>
      </c>
      <c r="C37" s="565">
        <f>Кадры!C37</f>
        <v>0</v>
      </c>
      <c r="D37" s="970" t="str">
        <f t="shared" si="19"/>
        <v>ПЕДИАТРИИ</v>
      </c>
      <c r="E37" s="568" t="s">
        <v>16</v>
      </c>
      <c r="F37" s="568" t="s">
        <v>31</v>
      </c>
      <c r="G37" s="576"/>
      <c r="H37" s="934">
        <f t="shared" si="5"/>
        <v>100</v>
      </c>
      <c r="I37" s="1836"/>
      <c r="J37" s="1034">
        <f t="shared" si="6"/>
        <v>100</v>
      </c>
      <c r="K37" s="1035">
        <f>МероприятияВуза!$AR37+МероприятияВуза!$AQ37</f>
        <v>0</v>
      </c>
      <c r="L37" s="1036">
        <f>МероприятияВуза!$G37+МероприятияВуза!$H37</f>
        <v>0</v>
      </c>
      <c r="M37" s="1037" t="str">
        <f t="shared" si="20"/>
        <v>нет</v>
      </c>
      <c r="N37" s="1038">
        <f>МероприятияВуза!$AS37</f>
        <v>0</v>
      </c>
      <c r="O37" s="1036">
        <f>МероприятияВуза!$I37+МероприятияВуза!$J37</f>
        <v>0</v>
      </c>
      <c r="P37" s="1037" t="str">
        <f t="shared" si="21"/>
        <v>нет</v>
      </c>
      <c r="Q37" s="1843"/>
      <c r="R37" s="817">
        <f t="shared" si="22"/>
        <v>100</v>
      </c>
      <c r="S37" s="1852"/>
      <c r="T37" s="1845"/>
      <c r="U37" s="908" t="str">
        <f t="shared" si="23"/>
        <v>нет</v>
      </c>
      <c r="V37" s="1039"/>
      <c r="W37" s="576"/>
      <c r="X37" s="908" t="str">
        <f t="shared" si="7"/>
        <v>нет</v>
      </c>
      <c r="Y37" s="1862"/>
      <c r="Z37" s="1855"/>
      <c r="AA37" s="908" t="str">
        <f t="shared" si="8"/>
        <v>нет</v>
      </c>
      <c r="AB37" s="1039"/>
      <c r="AC37" s="576"/>
      <c r="AD37" s="1040" t="str">
        <f t="shared" si="24"/>
        <v>нет</v>
      </c>
      <c r="AE37" s="1041"/>
      <c r="AF37" s="1042"/>
      <c r="AG37" s="908" t="str">
        <f t="shared" si="9"/>
        <v>нет</v>
      </c>
      <c r="AH37" s="1043"/>
      <c r="AI37" s="1042"/>
      <c r="AJ37" s="908" t="str">
        <f t="shared" si="25"/>
        <v>нет</v>
      </c>
      <c r="AK37" s="1044">
        <f>ПрофРабота!$Q37</f>
        <v>0</v>
      </c>
      <c r="AL37" s="577">
        <f>ПрофРабота!$R37</f>
        <v>0</v>
      </c>
      <c r="AM37" s="577">
        <f>ПрофРабота!$S37</f>
        <v>0</v>
      </c>
      <c r="AN37" s="934">
        <f>ПрофРабота!$C37</f>
        <v>0</v>
      </c>
      <c r="AO37" s="1038">
        <f>МероприятияВуза!$AT37</f>
        <v>0</v>
      </c>
      <c r="AP37" s="1036">
        <f>МероприятияВуза!$K37</f>
        <v>0</v>
      </c>
      <c r="AQ37" s="934" t="str">
        <f t="shared" si="26"/>
        <v>нет</v>
      </c>
      <c r="AR37" s="1045">
        <f>'ДПО(Финансы)'!$R37</f>
        <v>41040</v>
      </c>
      <c r="AS37" s="1046">
        <f>'ДПО(Финансы)'!$D37</f>
        <v>90000</v>
      </c>
      <c r="AT37" s="1047" t="e">
        <f t="shared" si="27"/>
        <v>#DIV/0!</v>
      </c>
      <c r="AU37" s="1514">
        <f t="shared" si="28"/>
        <v>45.6</v>
      </c>
      <c r="AV37" s="1529">
        <f>'ДПО(Финансы)'!$R37</f>
        <v>41040</v>
      </c>
      <c r="AW37" s="1046">
        <f>'ИДО(Финансы)'!$R37</f>
        <v>0</v>
      </c>
      <c r="AX37" s="1046">
        <f>'ДПО(Финансы)'!$S37</f>
        <v>275400</v>
      </c>
      <c r="AY37" s="1046">
        <f>'ИДО(Финансы)'!$S37</f>
        <v>0</v>
      </c>
      <c r="AZ37" s="1049" t="e">
        <f t="shared" si="0"/>
        <v>#DIV/0!</v>
      </c>
      <c r="BA37" s="1515">
        <f t="array" ref="BA37">IF(($E37="да"),IF($AX37=0,"нет",$AV37/$AX37*100-100),"нет")</f>
        <v>-85.098039215686271</v>
      </c>
      <c r="BB37" s="1516">
        <f t="array" ref="BB37">IF(($E37="да"),IF($AX37=0,"нет",$AV37/$AX37*100),"нет")</f>
        <v>14.901960784313726</v>
      </c>
      <c r="BC37" s="1517">
        <f t="shared" si="1"/>
        <v>45.6</v>
      </c>
      <c r="BD37" s="1517" t="e">
        <f t="array" ref="BD37">IF(($E37="да"),IF($AZ37&gt;$AZ$17,$AZ37/$AZ$16*BD$16,нет),нет)</f>
        <v>#DIV/0!</v>
      </c>
      <c r="BE37" s="1045">
        <f>'ИДО(Финансы)'!$R37</f>
        <v>0</v>
      </c>
      <c r="BF37" s="1046">
        <f>'ИДО(Финансы)'!D37</f>
        <v>0</v>
      </c>
      <c r="BG37" s="1047" t="str">
        <f t="shared" si="29"/>
        <v>нет</v>
      </c>
      <c r="BH37" s="1514" t="str">
        <f t="shared" si="30"/>
        <v>нет</v>
      </c>
      <c r="BI37" s="1518">
        <f t="array" ref="BI37">IF(($E37="да")+($F37="да"),IF((BF37+AS37)=0,"нет",(AR37+BE37)/(BF37+AS37)*100),"нет")</f>
        <v>45.6</v>
      </c>
      <c r="BJ37" s="1051">
        <f>Кадры!$I37</f>
        <v>0</v>
      </c>
      <c r="BK37" s="1048">
        <f>Кадры!$O37</f>
        <v>0</v>
      </c>
      <c r="BL37" s="943">
        <f>Кадры!$K37</f>
        <v>0</v>
      </c>
      <c r="BM37" s="1052" t="str">
        <f t="array" ref="BM37">IF(BL37=0,"нет",BK37/BL37*100)</f>
        <v>нет</v>
      </c>
      <c r="BN37" s="1038">
        <f>Кадры!E37</f>
        <v>0</v>
      </c>
      <c r="BO37" s="943">
        <f>Кадры!$K37</f>
        <v>0</v>
      </c>
      <c r="BP37" s="1050" t="str">
        <f t="shared" si="31"/>
        <v>нет</v>
      </c>
      <c r="BQ37" s="342" t="e">
        <f t="shared" si="32"/>
        <v>#DIV/0!</v>
      </c>
      <c r="BR37" s="1048">
        <f>Кадры!$L37</f>
        <v>0</v>
      </c>
      <c r="BS37" s="1543">
        <f>Кадры!$J37</f>
        <v>0</v>
      </c>
      <c r="BT37" s="1050">
        <f t="shared" si="33"/>
        <v>0</v>
      </c>
      <c r="BU37" s="934">
        <f t="shared" si="34"/>
        <v>100</v>
      </c>
      <c r="BV37" s="1038">
        <f>Кадры!$D37</f>
        <v>0</v>
      </c>
      <c r="BW37" s="1036">
        <f>Кадры!$F37</f>
        <v>0</v>
      </c>
      <c r="BX37" s="934" t="e">
        <f t="shared" si="35"/>
        <v>#DIV/0!</v>
      </c>
      <c r="BY37" s="1048">
        <f>Кадры!$P37</f>
        <v>0</v>
      </c>
      <c r="BZ37" s="943">
        <f>Кадры!$L37</f>
        <v>0</v>
      </c>
      <c r="CA37" s="1033" t="str">
        <f t="shared" si="36"/>
        <v>нет</v>
      </c>
      <c r="CB37" s="215"/>
      <c r="CC37" s="970" t="s">
        <v>332</v>
      </c>
      <c r="CD37" s="1053"/>
      <c r="CE37" s="1054"/>
      <c r="CG37" s="1056" t="e">
        <f t="array" ref="CG37">SUM(IF($F37:$CA37=нет,0,IF($F37:$CA37&gt;=$F$16:$CA$16,$F$16:$CA$16,IF($F37:$CA37&lt;$F$17:$CA$17,0,$F37:$CA37)))*$F$11:$CA$11*($F$104:$CA$104=CG$4)/$F$16:$CA$16*($F$106:$CA$115*($B$106:$B$115=$B37)*($A$106:$A$115=$A$104)))</f>
        <v>#DIV/0!</v>
      </c>
      <c r="CH37" s="1056" t="e">
        <f t="array" ref="CH37">SUM(IF($F37:$CA37=нет,0,IF($F37:$CA37&gt;=$F$16:$CA$16,$F$16:$CA$16,IF($F37:$CA37&lt;$F$17:$CA$17,0,$F37:$CA37)))*$F$11:$CA$11*($F$104:$CA$104=CH$4)/$F$16:$CA$16*($F$106:$CA$115*($B$106:$B$115=$B37)*($A$106:$A$115=$A$104)))</f>
        <v>#DIV/0!</v>
      </c>
      <c r="CI37" s="1056" t="e">
        <f t="array" ref="CI37">SUM(IF($F37:$CA37=нет,0,IF($F37:$CA37&gt;=$F$16:$CA$16,$F$16:$CA$16,IF($F37:$CA37&lt;$F$17:$CA$17,0,$F37:$CA37)))*$F$11:$CA$11*($F$105:$CA$105=CI$4)/$F$16:$CA$16*($F$106:$CA$115*($B$106:$B$115=$B37)*($A$106:$A$115=$A$104)))</f>
        <v>#DIV/0!</v>
      </c>
      <c r="CJ37" s="1072" t="e">
        <f>'НУ(ВИД3)'!D38</f>
        <v>#DIV/0!</v>
      </c>
      <c r="CK37" s="1056" t="e">
        <f t="array" ref="CK37">SUM(IF($F37:$CA37=нет,0,IF($F37:$CA37&gt;=$F$16:$CA$16,$F$16:$CA$16,IF($F37:$CA37&lt;$F$17:$CA$17,0,$F37:$CA37)))*$F$11:$CA$11*($F$104:$CA$104=CK$4)/$F$16:$CA$16*($F$106:$CA$115*($B$106:$B$115=$B37)*($A$106:$A$115=$A$104)))</f>
        <v>#DIV/0!</v>
      </c>
      <c r="CL37" s="1056" t="e">
        <f t="array" ref="CL37">SUM(IF($F37:$CA37=нет,0,IF($F37:$CA37&gt;=$F$16:$CA$16,$F$16:$CA$16,IF($F37:$CA37&lt;$F$17:$CA$17,0,$F37:$CA37)))*$F$11:$CA$11*($F$104:$CA$104=CL$4)/$F$16:$CA$16*($F$106:$CA$115*($B$106:$B$115=$B37)*($A$106:$A$115=$A$104)))</f>
        <v>#DIV/0!</v>
      </c>
      <c r="CM37" s="1056" t="e">
        <f t="array" ref="CM37">SUM(IF($F37:$CA37=нет,0,IF($F37:$CA37&gt;=$F$16:$CA$16,$F$16:$CA$16,IF($F37:$CA37&lt;$F$17:$CA$17,0,$F37:$CA37)))*$F$11:$CA$11*($F$104:$CA$104=CM$4)/$F$16:$CA$16*($F$106:$CA$115*($B$106:$B$115=$B37)*($A$106:$A$115=$A$104)))</f>
        <v>#DIV/0!</v>
      </c>
      <c r="CO37" s="1057" t="e">
        <f t="array" ref="CO37">SUM(IF($F37:$CA37=нет,0,100)*$F$11:$CA$11*($F$104:$CA$104=CO$4)/100*($F$106:$CA$115*($B$106:$B$115=$B37)*($A$106:$A$115=$A$104)))</f>
        <v>#DIV/0!</v>
      </c>
      <c r="CP37" s="1057" t="e">
        <f t="array" ref="CP37">SUM(IF($F37:$CA37=нет,0,100)*$F$11:$CA$11*($F$104:$CA$104=CP$4)/100*($F$106:$CA$115*($B$106:$B$115=$B37)*($A$106:$A$115=$A$104)))</f>
        <v>#DIV/0!</v>
      </c>
      <c r="CQ37" s="1057" t="e">
        <f t="array" ref="CQ37">SUM(IF($F37:$CA37=нет,0,100)*$F$11:$CA$11*($F$105:$CA$105=CQ$4)/100*($F$106:$CA$115*($B$106:$B$115=$B37)*($A$106:$A$115=$A$104)))</f>
        <v>#DIV/0!</v>
      </c>
      <c r="CR37" s="1057">
        <f>'НУ(ВИД3)'!E38</f>
        <v>21</v>
      </c>
      <c r="CS37" s="1057" t="e">
        <f t="array" ref="CS37">SUM(IF($F37:$CA37=нет,0,100)*$F$11:$CA$11*($F$104:$CA$104=CS$4)/100*($F$106:$CA$115*($B$106:$B$115=$B37)*($A$106:$A$115=$A$104)))</f>
        <v>#DIV/0!</v>
      </c>
      <c r="CT37" s="1057" t="e">
        <f t="array" ref="CT37">SUM(IF($F37:$CA37=нет,0,100)*$F$11:$CA$11*($F$104:$CA$104=CT$4)/100*($F$106:$CA$115*($B$106:$B$115=$B37)*($A$106:$A$115=$A$104)))</f>
        <v>#DIV/0!</v>
      </c>
      <c r="CU37" s="1057" t="e">
        <f t="array" ref="CU37">SUM(IF($F37:$CA37=нет,0,100)*$F$11:$CA$11*($F$104:$CA$104=CU$4)/100*($F$106:$CA$115*($B$106:$B$115=$B37)*($A$106:$A$115=$A$104)))</f>
        <v>#DIV/0!</v>
      </c>
      <c r="CW37" s="1059" t="e">
        <f>SUM(CG37:CH37,CJ37:CM37,'Реестр ППС'!#REF!,' "Вуз зож"'!S37)</f>
        <v>#REF!</v>
      </c>
      <c r="CX37" s="1059" t="e">
        <f>SUM(CO37:CP37,CR37:CU37,'Реестр ППС'!#REF!,' "Вуз зож"'!T37)</f>
        <v>#REF!</v>
      </c>
      <c r="CY37" s="1058" t="e">
        <f t="shared" si="10"/>
        <v>#REF!</v>
      </c>
      <c r="DA37" s="1060" t="e">
        <f>SUM(CI37:CK37,CM37,'Реестр ППС'!#REF!,' "Вуз зож"'!S37)</f>
        <v>#REF!</v>
      </c>
      <c r="DB37" s="1060" t="e">
        <f>SUM(CQ37:CS37,CU37,'Реестр ППС'!#REF!,' "Вуз зож"'!T37)</f>
        <v>#REF!</v>
      </c>
      <c r="DC37" s="1058" t="e">
        <f t="shared" si="37"/>
        <v>#REF!</v>
      </c>
      <c r="DD37" s="1054"/>
      <c r="DE37" s="1061" t="e">
        <f t="shared" si="11"/>
        <v>#DIV/0!</v>
      </c>
      <c r="DF37" s="1061" t="e">
        <f t="shared" si="12"/>
        <v>#DIV/0!</v>
      </c>
      <c r="DG37" s="1061" t="e">
        <f t="shared" si="13"/>
        <v>#DIV/0!</v>
      </c>
      <c r="DH37" s="1061" t="e">
        <f t="shared" si="14"/>
        <v>#DIV/0!</v>
      </c>
      <c r="DI37" s="1061" t="e">
        <f t="shared" si="15"/>
        <v>#DIV/0!</v>
      </c>
      <c r="DJ37" s="1061" t="e">
        <f t="shared" si="16"/>
        <v>#DIV/0!</v>
      </c>
      <c r="DK37" s="1061" t="e">
        <f t="shared" si="17"/>
        <v>#DIV/0!</v>
      </c>
      <c r="DL37" s="1062" t="str">
        <f t="shared" si="4"/>
        <v>Госпитальной педиатрии с курсом ДПО</v>
      </c>
      <c r="DM37" s="1055" t="str">
        <f t="shared" si="18"/>
        <v>ПЕДИАТРИИ</v>
      </c>
      <c r="DN37" s="1504" t="e">
        <f t="shared" si="38"/>
        <v>#REF!</v>
      </c>
      <c r="DO37" s="338"/>
      <c r="DP37" s="338"/>
      <c r="DQ37" s="338"/>
      <c r="DR37" s="318"/>
      <c r="DS37" s="318"/>
      <c r="DT37" s="318"/>
      <c r="DU37" s="318"/>
      <c r="DV37" s="318"/>
      <c r="DW37" s="318"/>
      <c r="DX37" s="318"/>
    </row>
    <row r="38" spans="1:128" s="215" customFormat="1" ht="15.75" thickBot="1" x14ac:dyDescent="0.25">
      <c r="A38" s="550" t="s">
        <v>410</v>
      </c>
      <c r="B38" s="340" t="s">
        <v>7</v>
      </c>
      <c r="C38" s="482">
        <f>Кадры!C38</f>
        <v>0</v>
      </c>
      <c r="D38" s="987" t="str">
        <f>CC38</f>
        <v>ПЕДИАТРИИ</v>
      </c>
      <c r="E38" s="341" t="s">
        <v>16</v>
      </c>
      <c r="F38" s="341" t="s">
        <v>31</v>
      </c>
      <c r="G38" s="909"/>
      <c r="H38" s="817">
        <f t="shared" si="5"/>
        <v>100</v>
      </c>
      <c r="I38" s="1748"/>
      <c r="J38" s="860">
        <f t="shared" si="6"/>
        <v>100</v>
      </c>
      <c r="K38" s="920">
        <f>МероприятияВуза!$AR38+МероприятияВуза!$AQ38</f>
        <v>0</v>
      </c>
      <c r="L38" s="919">
        <f>МероприятияВуза!$G38+МероприятияВуза!$H38</f>
        <v>0</v>
      </c>
      <c r="M38" s="925" t="str">
        <f t="shared" si="20"/>
        <v>нет</v>
      </c>
      <c r="N38" s="923">
        <f>МероприятияВуза!$AS38</f>
        <v>0</v>
      </c>
      <c r="O38" s="919">
        <f>МероприятияВуза!$I38+МероприятияВуза!$J38</f>
        <v>0</v>
      </c>
      <c r="P38" s="925" t="str">
        <f t="shared" si="21"/>
        <v>нет</v>
      </c>
      <c r="Q38" s="1844"/>
      <c r="R38" s="817">
        <f t="shared" si="22"/>
        <v>100</v>
      </c>
      <c r="S38" s="1847"/>
      <c r="T38" s="1848"/>
      <c r="U38" s="844" t="str">
        <f t="shared" si="23"/>
        <v>нет</v>
      </c>
      <c r="V38" s="904"/>
      <c r="W38" s="909"/>
      <c r="X38" s="844" t="str">
        <f t="shared" si="7"/>
        <v>нет</v>
      </c>
      <c r="Y38" s="1857"/>
      <c r="Z38" s="1858"/>
      <c r="AA38" s="844" t="str">
        <f t="shared" si="8"/>
        <v>нет</v>
      </c>
      <c r="AB38" s="1748"/>
      <c r="AC38" s="909"/>
      <c r="AD38" s="912" t="str">
        <f t="shared" si="24"/>
        <v>нет</v>
      </c>
      <c r="AE38" s="947"/>
      <c r="AF38" s="949"/>
      <c r="AG38" s="844" t="str">
        <f t="shared" si="9"/>
        <v>нет</v>
      </c>
      <c r="AH38" s="951"/>
      <c r="AI38" s="949"/>
      <c r="AJ38" s="844" t="str">
        <f t="shared" si="25"/>
        <v>нет</v>
      </c>
      <c r="AK38" s="935">
        <f>ПрофРабота!$Q38</f>
        <v>0</v>
      </c>
      <c r="AL38" s="485">
        <f>ПрофРабота!$R38</f>
        <v>0</v>
      </c>
      <c r="AM38" s="485">
        <f>ПрофРабота!$S38</f>
        <v>0</v>
      </c>
      <c r="AN38" s="817">
        <f>ПрофРабота!$C38</f>
        <v>0</v>
      </c>
      <c r="AO38" s="923">
        <f>МероприятияВуза!$AT38</f>
        <v>0</v>
      </c>
      <c r="AP38" s="919">
        <f>МероприятияВуза!$K38</f>
        <v>0</v>
      </c>
      <c r="AQ38" s="817" t="str">
        <f t="shared" si="26"/>
        <v>нет</v>
      </c>
      <c r="AR38" s="938">
        <f>'ДПО(Финансы)'!$R38</f>
        <v>555873</v>
      </c>
      <c r="AS38" s="939">
        <f>'ДПО(Финансы)'!$D38</f>
        <v>350000</v>
      </c>
      <c r="AT38" s="510" t="e">
        <f t="shared" si="27"/>
        <v>#DIV/0!</v>
      </c>
      <c r="AU38" s="1519">
        <f t="shared" si="28"/>
        <v>158.82085714285714</v>
      </c>
      <c r="AV38" s="938">
        <f>'ДПО(Финансы)'!$R38</f>
        <v>555873</v>
      </c>
      <c r="AW38" s="939">
        <f>'ИДО(Финансы)'!$R38</f>
        <v>0</v>
      </c>
      <c r="AX38" s="939">
        <f>'ДПО(Финансы)'!$S38</f>
        <v>920898.3</v>
      </c>
      <c r="AY38" s="939">
        <f>'ИДО(Финансы)'!$S38</f>
        <v>0</v>
      </c>
      <c r="AZ38" s="839" t="e">
        <f t="shared" si="0"/>
        <v>#DIV/0!</v>
      </c>
      <c r="BA38" s="1520">
        <f t="array" ref="BA38">IF(($E38="да"),IF($AX38=0,"нет",$AV38/$AX38*100-100),"нет")</f>
        <v>-39.63796002229563</v>
      </c>
      <c r="BB38" s="1521">
        <f t="array" ref="BB38">IF(($E38="да"),IF($AX38=0,"нет",$AV38/$AX38*100),"нет")</f>
        <v>60.36203997770437</v>
      </c>
      <c r="BC38" s="1522">
        <f t="shared" si="1"/>
        <v>158.82085714285714</v>
      </c>
      <c r="BD38" s="1522" t="e">
        <f t="array" ref="BD38">IF(($E38="да"),IF($AZ38&gt;$AZ$17,$AZ38/$AZ$16*BD$16,нет),нет)</f>
        <v>#DIV/0!</v>
      </c>
      <c r="BE38" s="938">
        <f>'ИДО(Финансы)'!$R38</f>
        <v>0</v>
      </c>
      <c r="BF38" s="939">
        <f>'ИДО(Финансы)'!D38</f>
        <v>0</v>
      </c>
      <c r="BG38" s="510" t="str">
        <f t="shared" si="29"/>
        <v>нет</v>
      </c>
      <c r="BH38" s="1519" t="str">
        <f t="shared" si="30"/>
        <v>нет</v>
      </c>
      <c r="BI38" s="1523">
        <f t="array" ref="BI38">IF(($E38="да")+($F38="да"),IF((BF38+AS38)=0,"нет",(AR38+BE38)/(BF38+AS38)*100),"нет")</f>
        <v>158.82085714285714</v>
      </c>
      <c r="BJ38" s="829">
        <f>Кадры!$I38</f>
        <v>0</v>
      </c>
      <c r="BK38" s="940">
        <f>Кадры!$O38</f>
        <v>0</v>
      </c>
      <c r="BL38" s="941">
        <f>Кадры!$K38</f>
        <v>0</v>
      </c>
      <c r="BM38" s="821" t="str">
        <f t="array" ref="BM38">IF(BL38=0,"нет",BK38/BL38*100)</f>
        <v>нет</v>
      </c>
      <c r="BN38" s="923">
        <f>Кадры!E38</f>
        <v>0</v>
      </c>
      <c r="BO38" s="941">
        <f>Кадры!$K38</f>
        <v>0</v>
      </c>
      <c r="BP38" s="343" t="str">
        <f t="shared" si="31"/>
        <v>нет</v>
      </c>
      <c r="BQ38" s="342" t="e">
        <f t="shared" si="32"/>
        <v>#DIV/0!</v>
      </c>
      <c r="BR38" s="940">
        <f>Кадры!$L38</f>
        <v>0</v>
      </c>
      <c r="BS38" s="1544">
        <f>Кадры!$J38</f>
        <v>0</v>
      </c>
      <c r="BT38" s="343">
        <f t="shared" si="33"/>
        <v>0</v>
      </c>
      <c r="BU38" s="817">
        <f t="shared" si="34"/>
        <v>100</v>
      </c>
      <c r="BV38" s="923">
        <f>Кадры!$D38</f>
        <v>0</v>
      </c>
      <c r="BW38" s="919">
        <f>Кадры!$F38</f>
        <v>0</v>
      </c>
      <c r="BX38" s="817" t="e">
        <f t="shared" si="35"/>
        <v>#DIV/0!</v>
      </c>
      <c r="BY38" s="940">
        <f>Кадры!$P38</f>
        <v>0</v>
      </c>
      <c r="BZ38" s="941">
        <f>Кадры!$L38</f>
        <v>0</v>
      </c>
      <c r="CA38" s="342" t="str">
        <f t="shared" si="36"/>
        <v>нет</v>
      </c>
      <c r="CC38" s="987" t="s">
        <v>332</v>
      </c>
      <c r="CD38" s="268"/>
      <c r="CE38" s="961"/>
      <c r="CG38" s="335" t="e">
        <f t="array" ref="CG38">SUM(IF($F38:$CA38=нет,0,IF($F38:$CA38&gt;=$F$16:$CA$16,$F$16:$CA$16,IF($F38:$CA38&lt;$F$17:$CA$17,0,$F38:$CA38)))*$F$11:$CA$11*($F$104:$CA$104=CG$4)/$F$16:$CA$16*($F$106:$CA$115*($B$106:$B$115=$B38)*($A$106:$A$115=$A$104)))</f>
        <v>#DIV/0!</v>
      </c>
      <c r="CH38" s="335" t="e">
        <f t="array" ref="CH38">SUM(IF($F38:$CA38=нет,0,IF($F38:$CA38&gt;=$F$16:$CA$16,$F$16:$CA$16,IF($F38:$CA38&lt;$F$17:$CA$17,0,$F38:$CA38)))*$F$11:$CA$11*($F$104:$CA$104=CH$4)/$F$16:$CA$16*($F$106:$CA$115*($B$106:$B$115=$B38)*($A$106:$A$115=$A$104)))</f>
        <v>#DIV/0!</v>
      </c>
      <c r="CI38" s="335" t="e">
        <f t="array" ref="CI38">SUM(IF($F38:$CA38=нет,0,IF($F38:$CA38&gt;=$F$16:$CA$16,$F$16:$CA$16,IF($F38:$CA38&lt;$F$17:$CA$17,0,$F38:$CA38)))*$F$11:$CA$11*($F$105:$CA$105=CI$4)/$F$16:$CA$16*($F$106:$CA$115*($B$106:$B$115=$B38)*($A$106:$A$115=$A$104)))</f>
        <v>#DIV/0!</v>
      </c>
      <c r="CJ38" s="1072" t="e">
        <f>'НУ(ВИД3)'!D39</f>
        <v>#DIV/0!</v>
      </c>
      <c r="CK38" s="335" t="e">
        <f t="array" ref="CK38">SUM(IF($F38:$CA38=нет,0,IF($F38:$CA38&gt;=$F$16:$CA$16,$F$16:$CA$16,IF($F38:$CA38&lt;$F$17:$CA$17,0,$F38:$CA38)))*$F$11:$CA$11*($F$104:$CA$104=CK$4)/$F$16:$CA$16*($F$106:$CA$115*($B$106:$B$115=$B38)*($A$106:$A$115=$A$104)))</f>
        <v>#DIV/0!</v>
      </c>
      <c r="CL38" s="335" t="e">
        <f t="array" ref="CL38">SUM(IF($F38:$CA38=нет,0,IF($F38:$CA38&gt;=$F$16:$CA$16,$F$16:$CA$16,IF($F38:$CA38&lt;$F$17:$CA$17,0,$F38:$CA38)))*$F$11:$CA$11*($F$104:$CA$104=CL$4)/$F$16:$CA$16*($F$106:$CA$115*($B$106:$B$115=$B38)*($A$106:$A$115=$A$104)))</f>
        <v>#DIV/0!</v>
      </c>
      <c r="CM38" s="335" t="e">
        <f t="array" ref="CM38">SUM(IF($F38:$CA38=нет,0,IF($F38:$CA38&gt;=$F$16:$CA$16,$F$16:$CA$16,IF($F38:$CA38&lt;$F$17:$CA$17,0,$F38:$CA38)))*$F$11:$CA$11*($F$104:$CA$104=CM$4)/$F$16:$CA$16*($F$106:$CA$115*($B$106:$B$115=$B38)*($A$106:$A$115=$A$104)))</f>
        <v>#DIV/0!</v>
      </c>
      <c r="CO38" s="1000" t="e">
        <f t="array" ref="CO38">SUM(IF($F38:$CA38=нет,0,100)*$F$11:$CA$11*($F$104:$CA$104=CO$4)/100*($F$106:$CA$115*($B$106:$B$115=$B38)*($A$106:$A$115=$A$104)))</f>
        <v>#DIV/0!</v>
      </c>
      <c r="CP38" s="1000" t="e">
        <f t="array" ref="CP38">SUM(IF($F38:$CA38=нет,0,100)*$F$11:$CA$11*($F$104:$CA$104=CP$4)/100*($F$106:$CA$115*($B$106:$B$115=$B38)*($A$106:$A$115=$A$104)))</f>
        <v>#DIV/0!</v>
      </c>
      <c r="CQ38" s="1000" t="e">
        <f t="array" ref="CQ38">SUM(IF($F38:$CA38=нет,0,100)*$F$11:$CA$11*($F$105:$CA$105=CQ$4)/100*($F$106:$CA$115*($B$106:$B$115=$B38)*($A$106:$A$115=$A$104)))</f>
        <v>#DIV/0!</v>
      </c>
      <c r="CR38" s="1057">
        <f>'НУ(ВИД3)'!E39</f>
        <v>21</v>
      </c>
      <c r="CS38" s="1000" t="e">
        <f t="array" ref="CS38">SUM(IF($F38:$CA38=нет,0,100)*$F$11:$CA$11*($F$104:$CA$104=CS$4)/100*($F$106:$CA$115*($B$106:$B$115=$B38)*($A$106:$A$115=$A$104)))</f>
        <v>#DIV/0!</v>
      </c>
      <c r="CT38" s="1000" t="e">
        <f t="array" ref="CT38">SUM(IF($F38:$CA38=нет,0,100)*$F$11:$CA$11*($F$104:$CA$104=CT$4)/100*($F$106:$CA$115*($B$106:$B$115=$B38)*($A$106:$A$115=$A$104)))</f>
        <v>#DIV/0!</v>
      </c>
      <c r="CU38" s="1000" t="e">
        <f t="array" ref="CU38">SUM(IF($F38:$CA38=нет,0,100)*$F$11:$CA$11*($F$104:$CA$104=CU$4)/100*($F$106:$CA$115*($B$106:$B$115=$B38)*($A$106:$A$115=$A$104)))</f>
        <v>#DIV/0!</v>
      </c>
      <c r="CW38" s="333" t="e">
        <f>SUM(CG38:CH38,CJ38:CM38,'Реестр ППС'!#REF!,' "Вуз зож"'!S38)</f>
        <v>#REF!</v>
      </c>
      <c r="CX38" s="333" t="e">
        <f>SUM(CO38:CP38,CR38:CU38,'Реестр ППС'!#REF!,' "Вуз зож"'!T38)</f>
        <v>#REF!</v>
      </c>
      <c r="CY38" s="332" t="e">
        <f t="shared" si="10"/>
        <v>#REF!</v>
      </c>
      <c r="DA38" s="336" t="e">
        <f>SUM(CI38:CK38,CM38,'Реестр ППС'!#REF!,' "Вуз зож"'!S38)</f>
        <v>#REF!</v>
      </c>
      <c r="DB38" s="336" t="e">
        <f>SUM(CQ38:CS38,CU38,'Реестр ППС'!#REF!,' "Вуз зож"'!T38)</f>
        <v>#REF!</v>
      </c>
      <c r="DC38" s="332" t="e">
        <f t="shared" si="37"/>
        <v>#REF!</v>
      </c>
      <c r="DD38" s="961"/>
      <c r="DE38" s="337" t="e">
        <f t="shared" si="11"/>
        <v>#DIV/0!</v>
      </c>
      <c r="DF38" s="337" t="e">
        <f t="shared" si="12"/>
        <v>#DIV/0!</v>
      </c>
      <c r="DG38" s="337" t="e">
        <f t="shared" si="13"/>
        <v>#DIV/0!</v>
      </c>
      <c r="DH38" s="337" t="e">
        <f t="shared" si="14"/>
        <v>#DIV/0!</v>
      </c>
      <c r="DI38" s="337" t="e">
        <f t="shared" si="15"/>
        <v>#DIV/0!</v>
      </c>
      <c r="DJ38" s="337" t="e">
        <f t="shared" si="16"/>
        <v>#DIV/0!</v>
      </c>
      <c r="DK38" s="337" t="e">
        <f t="shared" si="17"/>
        <v>#DIV/0!</v>
      </c>
      <c r="DL38" s="334" t="str">
        <f t="shared" si="4"/>
        <v>Лучевой диагностики и эндоскопии с курсом ДПО</v>
      </c>
      <c r="DM38" s="215" t="str">
        <f t="shared" si="18"/>
        <v>ПЕДИАТРИИ</v>
      </c>
      <c r="DN38" s="1505" t="e">
        <f t="shared" si="38"/>
        <v>#REF!</v>
      </c>
      <c r="DO38" s="338"/>
      <c r="DP38" s="338"/>
      <c r="DQ38" s="338"/>
      <c r="DR38" s="318"/>
      <c r="DS38" s="318"/>
      <c r="DT38" s="318"/>
      <c r="DU38" s="318"/>
      <c r="DV38" s="318"/>
      <c r="DW38" s="318"/>
      <c r="DX38" s="318"/>
    </row>
    <row r="39" spans="1:128" s="215" customFormat="1" ht="15.75" thickBot="1" x14ac:dyDescent="0.25">
      <c r="A39" s="550" t="s">
        <v>408</v>
      </c>
      <c r="B39" s="340" t="s">
        <v>7</v>
      </c>
      <c r="C39" s="482">
        <f>Кадры!C39</f>
        <v>0</v>
      </c>
      <c r="D39" s="987" t="str">
        <f>CC39</f>
        <v>ПЕДИАТРИИ</v>
      </c>
      <c r="E39" s="341" t="s">
        <v>16</v>
      </c>
      <c r="F39" s="341" t="s">
        <v>31</v>
      </c>
      <c r="G39" s="909"/>
      <c r="H39" s="817">
        <f t="shared" si="5"/>
        <v>100</v>
      </c>
      <c r="I39" s="1748"/>
      <c r="J39" s="860">
        <f t="shared" si="6"/>
        <v>100</v>
      </c>
      <c r="K39" s="920">
        <f>МероприятияВуза!$AR39+МероприятияВуза!$AQ39</f>
        <v>0</v>
      </c>
      <c r="L39" s="919">
        <f>МероприятияВуза!$G39+МероприятияВуза!$H39</f>
        <v>0</v>
      </c>
      <c r="M39" s="925" t="str">
        <f t="shared" si="20"/>
        <v>нет</v>
      </c>
      <c r="N39" s="923">
        <f>МероприятияВуза!$AS39</f>
        <v>0</v>
      </c>
      <c r="O39" s="919">
        <f>МероприятияВуза!$I39+МероприятияВуза!$J39</f>
        <v>0</v>
      </c>
      <c r="P39" s="925" t="str">
        <f t="shared" si="21"/>
        <v>нет</v>
      </c>
      <c r="Q39" s="1844"/>
      <c r="R39" s="817">
        <f t="shared" si="22"/>
        <v>100</v>
      </c>
      <c r="S39" s="1847"/>
      <c r="T39" s="1848"/>
      <c r="U39" s="844" t="str">
        <f t="shared" si="23"/>
        <v>нет</v>
      </c>
      <c r="V39" s="904"/>
      <c r="W39" s="909"/>
      <c r="X39" s="844" t="str">
        <f t="shared" si="7"/>
        <v>нет</v>
      </c>
      <c r="Y39" s="1857"/>
      <c r="Z39" s="1858"/>
      <c r="AA39" s="844" t="str">
        <f t="shared" si="8"/>
        <v>нет</v>
      </c>
      <c r="AB39" s="1748"/>
      <c r="AC39" s="909"/>
      <c r="AD39" s="912" t="str">
        <f t="shared" si="24"/>
        <v>нет</v>
      </c>
      <c r="AE39" s="947"/>
      <c r="AF39" s="949"/>
      <c r="AG39" s="844" t="str">
        <f t="shared" si="9"/>
        <v>нет</v>
      </c>
      <c r="AH39" s="951"/>
      <c r="AI39" s="949"/>
      <c r="AJ39" s="844" t="str">
        <f t="shared" si="25"/>
        <v>нет</v>
      </c>
      <c r="AK39" s="935">
        <f>ПрофРабота!$Q39</f>
        <v>0</v>
      </c>
      <c r="AL39" s="485">
        <f>ПрофРабота!$R39</f>
        <v>0</v>
      </c>
      <c r="AM39" s="485">
        <f>ПрофРабота!$S39</f>
        <v>0</v>
      </c>
      <c r="AN39" s="817">
        <f>ПрофРабота!$C39</f>
        <v>0</v>
      </c>
      <c r="AO39" s="923">
        <f>МероприятияВуза!$AT39</f>
        <v>0</v>
      </c>
      <c r="AP39" s="919">
        <f>МероприятияВуза!$K39</f>
        <v>0</v>
      </c>
      <c r="AQ39" s="817" t="str">
        <f t="shared" si="26"/>
        <v>нет</v>
      </c>
      <c r="AR39" s="938">
        <f>'ДПО(Финансы)'!$R39</f>
        <v>6413</v>
      </c>
      <c r="AS39" s="939">
        <f>'ДПО(Финансы)'!$D39</f>
        <v>71000</v>
      </c>
      <c r="AT39" s="510" t="e">
        <f t="shared" si="27"/>
        <v>#DIV/0!</v>
      </c>
      <c r="AU39" s="1519">
        <f t="shared" si="28"/>
        <v>9.0323943661971828</v>
      </c>
      <c r="AV39" s="938">
        <f>'ДПО(Финансы)'!$R39</f>
        <v>6413</v>
      </c>
      <c r="AW39" s="939">
        <f>'ИДО(Финансы)'!$R39</f>
        <v>0</v>
      </c>
      <c r="AX39" s="939">
        <f>'ДПО(Финансы)'!$S39</f>
        <v>0</v>
      </c>
      <c r="AY39" s="939">
        <f>'ИДО(Финансы)'!$S39</f>
        <v>0</v>
      </c>
      <c r="AZ39" s="839" t="e">
        <f t="shared" si="0"/>
        <v>#DIV/0!</v>
      </c>
      <c r="BA39" s="1520" t="str">
        <f t="array" ref="BA39">IF(($E39="да"),IF($AX39=0,"нет",$AV39/$AX39*100-100),"нет")</f>
        <v>нет</v>
      </c>
      <c r="BB39" s="1521" t="str">
        <f t="array" ref="BB39">IF(($E39="да"),IF($AX39=0,"нет",$AV39/$AX39*100),"нет")</f>
        <v>нет</v>
      </c>
      <c r="BC39" s="1522">
        <f t="shared" si="1"/>
        <v>9.0323943661971828</v>
      </c>
      <c r="BD39" s="1522" t="e">
        <f t="array" ref="BD39">IF(($E39="да"),IF($AZ39&gt;$AZ$17,$AZ39/$AZ$16*BD$16,нет),нет)</f>
        <v>#DIV/0!</v>
      </c>
      <c r="BE39" s="938">
        <f>'ИДО(Финансы)'!$R39</f>
        <v>0</v>
      </c>
      <c r="BF39" s="939">
        <f>'ИДО(Финансы)'!D39</f>
        <v>0</v>
      </c>
      <c r="BG39" s="510" t="str">
        <f t="shared" si="29"/>
        <v>нет</v>
      </c>
      <c r="BH39" s="1519" t="str">
        <f t="shared" si="30"/>
        <v>нет</v>
      </c>
      <c r="BI39" s="1523">
        <f t="array" ref="BI39">IF(($E39="да")+($F39="да"),IF((BF39+AS39)=0,"нет",(AR39+BE39)/(BF39+AS39)*100),"нет")</f>
        <v>9.0323943661971828</v>
      </c>
      <c r="BJ39" s="829">
        <f>Кадры!$I39</f>
        <v>0</v>
      </c>
      <c r="BK39" s="940">
        <f>Кадры!$O39</f>
        <v>0</v>
      </c>
      <c r="BL39" s="941">
        <f>Кадры!$K39</f>
        <v>0</v>
      </c>
      <c r="BM39" s="821" t="str">
        <f t="array" ref="BM39">IF(BL39=0,"нет",BK39/BL39*100)</f>
        <v>нет</v>
      </c>
      <c r="BN39" s="923">
        <f>Кадры!E39</f>
        <v>0</v>
      </c>
      <c r="BO39" s="941">
        <f>Кадры!$K39</f>
        <v>0</v>
      </c>
      <c r="BP39" s="343" t="str">
        <f t="shared" si="31"/>
        <v>нет</v>
      </c>
      <c r="BQ39" s="342" t="e">
        <f t="shared" si="32"/>
        <v>#DIV/0!</v>
      </c>
      <c r="BR39" s="940">
        <f>Кадры!$L39</f>
        <v>0</v>
      </c>
      <c r="BS39" s="1544">
        <f>Кадры!$J39</f>
        <v>0</v>
      </c>
      <c r="BT39" s="343">
        <f t="shared" si="33"/>
        <v>0</v>
      </c>
      <c r="BU39" s="817">
        <f t="shared" si="34"/>
        <v>100</v>
      </c>
      <c r="BV39" s="923">
        <f>Кадры!$D39</f>
        <v>0</v>
      </c>
      <c r="BW39" s="919">
        <f>Кадры!$F39</f>
        <v>0</v>
      </c>
      <c r="BX39" s="817" t="e">
        <f t="shared" si="35"/>
        <v>#DIV/0!</v>
      </c>
      <c r="BY39" s="940">
        <f>Кадры!$P39</f>
        <v>0</v>
      </c>
      <c r="BZ39" s="941">
        <f>Кадры!$L39</f>
        <v>0</v>
      </c>
      <c r="CA39" s="342" t="str">
        <f t="shared" si="36"/>
        <v>нет</v>
      </c>
      <c r="CC39" s="987" t="s">
        <v>332</v>
      </c>
      <c r="CD39" s="268"/>
      <c r="CE39" s="961"/>
      <c r="CG39" s="335" t="e">
        <f t="array" ref="CG39">SUM(IF($F39:$CA39=нет,0,IF($F39:$CA39&gt;=$F$16:$CA$16,$F$16:$CA$16,IF($F39:$CA39&lt;$F$17:$CA$17,0,$F39:$CA39)))*$F$11:$CA$11*($F$104:$CA$104=CG$4)/$F$16:$CA$16*($F$106:$CA$115*($B$106:$B$115=$B39)*($A$106:$A$115=$A$104)))</f>
        <v>#DIV/0!</v>
      </c>
      <c r="CH39" s="335" t="e">
        <f t="array" ref="CH39">SUM(IF($F39:$CA39=нет,0,IF($F39:$CA39&gt;=$F$16:$CA$16,$F$16:$CA$16,IF($F39:$CA39&lt;$F$17:$CA$17,0,$F39:$CA39)))*$F$11:$CA$11*($F$104:$CA$104=CH$4)/$F$16:$CA$16*($F$106:$CA$115*($B$106:$B$115=$B39)*($A$106:$A$115=$A$104)))</f>
        <v>#DIV/0!</v>
      </c>
      <c r="CI39" s="335" t="e">
        <f t="array" ref="CI39">SUM(IF($F39:$CA39=нет,0,IF($F39:$CA39&gt;=$F$16:$CA$16,$F$16:$CA$16,IF($F39:$CA39&lt;$F$17:$CA$17,0,$F39:$CA39)))*$F$11:$CA$11*($F$105:$CA$105=CI$4)/$F$16:$CA$16*($F$106:$CA$115*($B$106:$B$115=$B39)*($A$106:$A$115=$A$104)))</f>
        <v>#DIV/0!</v>
      </c>
      <c r="CJ39" s="1072" t="e">
        <f>'НУ(ВИД3)'!D40</f>
        <v>#DIV/0!</v>
      </c>
      <c r="CK39" s="335" t="e">
        <f t="array" ref="CK39">SUM(IF($F39:$CA39=нет,0,IF($F39:$CA39&gt;=$F$16:$CA$16,$F$16:$CA$16,IF($F39:$CA39&lt;$F$17:$CA$17,0,$F39:$CA39)))*$F$11:$CA$11*($F$104:$CA$104=CK$4)/$F$16:$CA$16*($F$106:$CA$115*($B$106:$B$115=$B39)*($A$106:$A$115=$A$104)))</f>
        <v>#DIV/0!</v>
      </c>
      <c r="CL39" s="335" t="e">
        <f t="array" ref="CL39">SUM(IF($F39:$CA39=нет,0,IF($F39:$CA39&gt;=$F$16:$CA$16,$F$16:$CA$16,IF($F39:$CA39&lt;$F$17:$CA$17,0,$F39:$CA39)))*$F$11:$CA$11*($F$104:$CA$104=CL$4)/$F$16:$CA$16*($F$106:$CA$115*($B$106:$B$115=$B39)*($A$106:$A$115=$A$104)))</f>
        <v>#DIV/0!</v>
      </c>
      <c r="CM39" s="335" t="e">
        <f t="array" ref="CM39">SUM(IF($F39:$CA39=нет,0,IF($F39:$CA39&gt;=$F$16:$CA$16,$F$16:$CA$16,IF($F39:$CA39&lt;$F$17:$CA$17,0,$F39:$CA39)))*$F$11:$CA$11*($F$104:$CA$104=CM$4)/$F$16:$CA$16*($F$106:$CA$115*($B$106:$B$115=$B39)*($A$106:$A$115=$A$104)))</f>
        <v>#DIV/0!</v>
      </c>
      <c r="CO39" s="1000" t="e">
        <f t="array" ref="CO39">SUM(IF($F39:$CA39=нет,0,100)*$F$11:$CA$11*($F$104:$CA$104=CO$4)/100*($F$106:$CA$115*($B$106:$B$115=$B39)*($A$106:$A$115=$A$104)))</f>
        <v>#DIV/0!</v>
      </c>
      <c r="CP39" s="1000" t="e">
        <f t="array" ref="CP39">SUM(IF($F39:$CA39=нет,0,100)*$F$11:$CA$11*($F$104:$CA$104=CP$4)/100*($F$106:$CA$115*($B$106:$B$115=$B39)*($A$106:$A$115=$A$104)))</f>
        <v>#DIV/0!</v>
      </c>
      <c r="CQ39" s="1000" t="e">
        <f t="array" ref="CQ39">SUM(IF($F39:$CA39=нет,0,100)*$F$11:$CA$11*($F$105:$CA$105=CQ$4)/100*($F$106:$CA$115*($B$106:$B$115=$B39)*($A$106:$A$115=$A$104)))</f>
        <v>#DIV/0!</v>
      </c>
      <c r="CR39" s="1057">
        <f>'НУ(ВИД3)'!E40</f>
        <v>21</v>
      </c>
      <c r="CS39" s="1000" t="e">
        <f t="array" ref="CS39">SUM(IF($F39:$CA39=нет,0,100)*$F$11:$CA$11*($F$104:$CA$104=CS$4)/100*($F$106:$CA$115*($B$106:$B$115=$B39)*($A$106:$A$115=$A$104)))</f>
        <v>#DIV/0!</v>
      </c>
      <c r="CT39" s="1000" t="e">
        <f t="array" ref="CT39">SUM(IF($F39:$CA39=нет,0,100)*$F$11:$CA$11*($F$104:$CA$104=CT$4)/100*($F$106:$CA$115*($B$106:$B$115=$B39)*($A$106:$A$115=$A$104)))</f>
        <v>#DIV/0!</v>
      </c>
      <c r="CU39" s="1000" t="e">
        <f t="array" ref="CU39">SUM(IF($F39:$CA39=нет,0,100)*$F$11:$CA$11*($F$104:$CA$104=CU$4)/100*($F$106:$CA$115*($B$106:$B$115=$B39)*($A$106:$A$115=$A$104)))</f>
        <v>#DIV/0!</v>
      </c>
      <c r="CW39" s="333" t="e">
        <f>SUM(CG39:CH39,CJ39:CM39,'Реестр ППС'!#REF!,' "Вуз зож"'!S39)</f>
        <v>#REF!</v>
      </c>
      <c r="CX39" s="333" t="e">
        <f>SUM(CO39:CP39,CR39:CU39,'Реестр ППС'!#REF!,' "Вуз зож"'!T39)</f>
        <v>#REF!</v>
      </c>
      <c r="CY39" s="332" t="e">
        <f t="shared" si="10"/>
        <v>#REF!</v>
      </c>
      <c r="DA39" s="336" t="e">
        <f>SUM(CI39:CK39,CM39,'Реестр ППС'!#REF!,' "Вуз зож"'!S39)</f>
        <v>#REF!</v>
      </c>
      <c r="DB39" s="336" t="e">
        <f>SUM(CQ39:CS39,CU39,'Реестр ППС'!#REF!,' "Вуз зож"'!T39)</f>
        <v>#REF!</v>
      </c>
      <c r="DC39" s="332" t="e">
        <f t="shared" si="37"/>
        <v>#REF!</v>
      </c>
      <c r="DD39" s="961"/>
      <c r="DE39" s="337" t="e">
        <f t="shared" si="11"/>
        <v>#DIV/0!</v>
      </c>
      <c r="DF39" s="337" t="e">
        <f t="shared" si="12"/>
        <v>#DIV/0!</v>
      </c>
      <c r="DG39" s="337" t="e">
        <f t="shared" si="13"/>
        <v>#DIV/0!</v>
      </c>
      <c r="DH39" s="337" t="e">
        <f t="shared" si="14"/>
        <v>#DIV/0!</v>
      </c>
      <c r="DI39" s="337" t="e">
        <f t="shared" si="15"/>
        <v>#DIV/0!</v>
      </c>
      <c r="DJ39" s="337" t="e">
        <f t="shared" si="16"/>
        <v>#DIV/0!</v>
      </c>
      <c r="DK39" s="337" t="e">
        <f t="shared" si="17"/>
        <v>#DIV/0!</v>
      </c>
      <c r="DL39" s="334" t="str">
        <f t="shared" si="4"/>
        <v>Неонатологии и детской анестезиологии с курсом ДПО</v>
      </c>
      <c r="DM39" s="215" t="str">
        <f t="shared" si="18"/>
        <v>ПЕДИАТРИИ</v>
      </c>
      <c r="DN39" s="1505" t="e">
        <f t="shared" si="38"/>
        <v>#REF!</v>
      </c>
      <c r="DO39" s="338"/>
      <c r="DP39" s="338"/>
      <c r="DQ39" s="338"/>
      <c r="DR39" s="318"/>
      <c r="DS39" s="318"/>
      <c r="DT39" s="318"/>
      <c r="DU39" s="318"/>
      <c r="DV39" s="318"/>
      <c r="DW39" s="318"/>
      <c r="DX39" s="318"/>
    </row>
    <row r="40" spans="1:128" s="215" customFormat="1" ht="15.75" thickBot="1" x14ac:dyDescent="0.25">
      <c r="A40" s="550" t="s">
        <v>409</v>
      </c>
      <c r="B40" s="340" t="s">
        <v>7</v>
      </c>
      <c r="C40" s="482">
        <f>Кадры!C40</f>
        <v>0</v>
      </c>
      <c r="D40" s="987" t="str">
        <f>CC40</f>
        <v>ПЕДИАТРИИ</v>
      </c>
      <c r="E40" s="341" t="s">
        <v>16</v>
      </c>
      <c r="F40" s="341" t="s">
        <v>31</v>
      </c>
      <c r="G40" s="909"/>
      <c r="H40" s="817">
        <f t="shared" si="5"/>
        <v>100</v>
      </c>
      <c r="I40" s="1748"/>
      <c r="J40" s="860">
        <f t="shared" si="6"/>
        <v>100</v>
      </c>
      <c r="K40" s="920">
        <f>МероприятияВуза!$AR40+МероприятияВуза!$AQ40</f>
        <v>0</v>
      </c>
      <c r="L40" s="919">
        <f>МероприятияВуза!$G40+МероприятияВуза!$H40</f>
        <v>0</v>
      </c>
      <c r="M40" s="925" t="str">
        <f t="shared" si="20"/>
        <v>нет</v>
      </c>
      <c r="N40" s="923">
        <f>МероприятияВуза!$AS40</f>
        <v>0</v>
      </c>
      <c r="O40" s="919">
        <f>МероприятияВуза!$I40+МероприятияВуза!$J40</f>
        <v>0</v>
      </c>
      <c r="P40" s="925" t="str">
        <f t="shared" si="21"/>
        <v>нет</v>
      </c>
      <c r="Q40" s="1844"/>
      <c r="R40" s="817">
        <f t="shared" si="22"/>
        <v>100</v>
      </c>
      <c r="S40" s="1847"/>
      <c r="T40" s="1848"/>
      <c r="U40" s="844" t="str">
        <f t="shared" si="23"/>
        <v>нет</v>
      </c>
      <c r="V40" s="904"/>
      <c r="W40" s="909"/>
      <c r="X40" s="844" t="str">
        <f t="shared" si="7"/>
        <v>нет</v>
      </c>
      <c r="Y40" s="1857"/>
      <c r="Z40" s="1858"/>
      <c r="AA40" s="844" t="str">
        <f t="shared" si="8"/>
        <v>нет</v>
      </c>
      <c r="AB40" s="1748"/>
      <c r="AC40" s="909"/>
      <c r="AD40" s="912" t="str">
        <f t="shared" si="24"/>
        <v>нет</v>
      </c>
      <c r="AE40" s="947"/>
      <c r="AF40" s="949"/>
      <c r="AG40" s="844" t="str">
        <f t="shared" si="9"/>
        <v>нет</v>
      </c>
      <c r="AH40" s="951"/>
      <c r="AI40" s="949"/>
      <c r="AJ40" s="844" t="str">
        <f t="shared" si="25"/>
        <v>нет</v>
      </c>
      <c r="AK40" s="935">
        <f>ПрофРабота!$Q40</f>
        <v>0</v>
      </c>
      <c r="AL40" s="485">
        <f>ПрофРабота!$R40</f>
        <v>0</v>
      </c>
      <c r="AM40" s="485">
        <f>ПрофРабота!$S40</f>
        <v>0</v>
      </c>
      <c r="AN40" s="817">
        <f>ПрофРабота!$C40</f>
        <v>0</v>
      </c>
      <c r="AO40" s="923">
        <f>МероприятияВуза!$AT40</f>
        <v>0</v>
      </c>
      <c r="AP40" s="919">
        <f>МероприятияВуза!$K40</f>
        <v>0</v>
      </c>
      <c r="AQ40" s="817" t="str">
        <f t="shared" si="26"/>
        <v>нет</v>
      </c>
      <c r="AR40" s="938">
        <f>'ДПО(Финансы)'!$R40</f>
        <v>8100</v>
      </c>
      <c r="AS40" s="939">
        <f>'ДПО(Финансы)'!$D40</f>
        <v>50000</v>
      </c>
      <c r="AT40" s="510" t="e">
        <f t="shared" si="27"/>
        <v>#DIV/0!</v>
      </c>
      <c r="AU40" s="1519">
        <f t="shared" si="28"/>
        <v>16.2</v>
      </c>
      <c r="AV40" s="938">
        <f>'ДПО(Финансы)'!$R40</f>
        <v>8100</v>
      </c>
      <c r="AW40" s="939">
        <f>'ИДО(Финансы)'!$R40</f>
        <v>0</v>
      </c>
      <c r="AX40" s="939">
        <f>'ДПО(Финансы)'!$S40</f>
        <v>132600</v>
      </c>
      <c r="AY40" s="939">
        <f>'ИДО(Финансы)'!$S40</f>
        <v>0</v>
      </c>
      <c r="AZ40" s="839" t="e">
        <f t="shared" si="0"/>
        <v>#DIV/0!</v>
      </c>
      <c r="BA40" s="1520">
        <f t="array" ref="BA40">IF(($E40="да"),IF($AX40=0,"нет",$AV40/$AX40*100-100),"нет")</f>
        <v>-93.891402714932127</v>
      </c>
      <c r="BB40" s="1521">
        <f t="array" ref="BB40">IF(($E40="да"),IF($AX40=0,"нет",$AV40/$AX40*100),"нет")</f>
        <v>6.1085972850678729</v>
      </c>
      <c r="BC40" s="1522">
        <f t="shared" si="1"/>
        <v>16.2</v>
      </c>
      <c r="BD40" s="1522" t="e">
        <f t="array" ref="BD40">IF(($E40="да"),IF($AZ40&gt;$AZ$17,$AZ40/$AZ$16*BD$16,нет),нет)</f>
        <v>#DIV/0!</v>
      </c>
      <c r="BE40" s="938">
        <f>'ИДО(Финансы)'!$R40</f>
        <v>0</v>
      </c>
      <c r="BF40" s="939">
        <f>'ИДО(Финансы)'!D40</f>
        <v>0</v>
      </c>
      <c r="BG40" s="510" t="str">
        <f t="shared" si="29"/>
        <v>нет</v>
      </c>
      <c r="BH40" s="1519" t="str">
        <f t="shared" si="30"/>
        <v>нет</v>
      </c>
      <c r="BI40" s="1523">
        <f t="array" ref="BI40">IF(($E40="да")+($F40="да"),IF((BF40+AS40)=0,"нет",(AR40+BE40)/(BF40+AS40)*100),"нет")</f>
        <v>16.2</v>
      </c>
      <c r="BJ40" s="829">
        <f>Кадры!$I40</f>
        <v>0</v>
      </c>
      <c r="BK40" s="940">
        <f>Кадры!$O40</f>
        <v>0</v>
      </c>
      <c r="BL40" s="941">
        <f>Кадры!$K40</f>
        <v>0</v>
      </c>
      <c r="BM40" s="821" t="str">
        <f t="array" ref="BM40">IF(BL40=0,"нет",BK40/BL40*100)</f>
        <v>нет</v>
      </c>
      <c r="BN40" s="923">
        <f>Кадры!E40</f>
        <v>0</v>
      </c>
      <c r="BO40" s="941">
        <f>Кадры!$K40</f>
        <v>0</v>
      </c>
      <c r="BP40" s="343" t="str">
        <f t="shared" si="31"/>
        <v>нет</v>
      </c>
      <c r="BQ40" s="342" t="e">
        <f t="shared" si="32"/>
        <v>#DIV/0!</v>
      </c>
      <c r="BR40" s="940">
        <f>Кадры!$L40</f>
        <v>0</v>
      </c>
      <c r="BS40" s="1544">
        <f>Кадры!$J40</f>
        <v>0</v>
      </c>
      <c r="BT40" s="343">
        <f t="shared" si="33"/>
        <v>0</v>
      </c>
      <c r="BU40" s="817">
        <f t="shared" si="34"/>
        <v>100</v>
      </c>
      <c r="BV40" s="923">
        <f>Кадры!$D40</f>
        <v>0</v>
      </c>
      <c r="BW40" s="919">
        <f>Кадры!$F40</f>
        <v>0</v>
      </c>
      <c r="BX40" s="817" t="e">
        <f t="shared" si="35"/>
        <v>#DIV/0!</v>
      </c>
      <c r="BY40" s="940">
        <f>Кадры!$P40</f>
        <v>0</v>
      </c>
      <c r="BZ40" s="941">
        <f>Кадры!$L40</f>
        <v>0</v>
      </c>
      <c r="CA40" s="342" t="str">
        <f t="shared" si="36"/>
        <v>нет</v>
      </c>
      <c r="CC40" s="987" t="s">
        <v>332</v>
      </c>
      <c r="CD40" s="268"/>
      <c r="CE40" s="961"/>
      <c r="CG40" s="335" t="e">
        <f t="array" ref="CG40">SUM(IF($F40:$CA40=нет,0,IF($F40:$CA40&gt;=$F$16:$CA$16,$F$16:$CA$16,IF($F40:$CA40&lt;$F$17:$CA$17,0,$F40:$CA40)))*$F$11:$CA$11*($F$104:$CA$104=CG$4)/$F$16:$CA$16*($F$106:$CA$115*($B$106:$B$115=$B40)*($A$106:$A$115=$A$104)))</f>
        <v>#DIV/0!</v>
      </c>
      <c r="CH40" s="335" t="e">
        <f t="array" ref="CH40">SUM(IF($F40:$CA40=нет,0,IF($F40:$CA40&gt;=$F$16:$CA$16,$F$16:$CA$16,IF($F40:$CA40&lt;$F$17:$CA$17,0,$F40:$CA40)))*$F$11:$CA$11*($F$104:$CA$104=CH$4)/$F$16:$CA$16*($F$106:$CA$115*($B$106:$B$115=$B40)*($A$106:$A$115=$A$104)))</f>
        <v>#DIV/0!</v>
      </c>
      <c r="CI40" s="335" t="e">
        <f t="array" ref="CI40">SUM(IF($F40:$CA40=нет,0,IF($F40:$CA40&gt;=$F$16:$CA$16,$F$16:$CA$16,IF($F40:$CA40&lt;$F$17:$CA$17,0,$F40:$CA40)))*$F$11:$CA$11*($F$105:$CA$105=CI$4)/$F$16:$CA$16*($F$106:$CA$115*($B$106:$B$115=$B40)*($A$106:$A$115=$A$104)))</f>
        <v>#DIV/0!</v>
      </c>
      <c r="CJ40" s="1072" t="e">
        <f>'НУ(ВИД3)'!D41</f>
        <v>#DIV/0!</v>
      </c>
      <c r="CK40" s="335" t="e">
        <f t="array" ref="CK40">SUM(IF($F40:$CA40=нет,0,IF($F40:$CA40&gt;=$F$16:$CA$16,$F$16:$CA$16,IF($F40:$CA40&lt;$F$17:$CA$17,0,$F40:$CA40)))*$F$11:$CA$11*($F$104:$CA$104=CK$4)/$F$16:$CA$16*($F$106:$CA$115*($B$106:$B$115=$B40)*($A$106:$A$115=$A$104)))</f>
        <v>#DIV/0!</v>
      </c>
      <c r="CL40" s="335" t="e">
        <f t="array" ref="CL40">SUM(IF($F40:$CA40=нет,0,IF($F40:$CA40&gt;=$F$16:$CA$16,$F$16:$CA$16,IF($F40:$CA40&lt;$F$17:$CA$17,0,$F40:$CA40)))*$F$11:$CA$11*($F$104:$CA$104=CL$4)/$F$16:$CA$16*($F$106:$CA$115*($B$106:$B$115=$B40)*($A$106:$A$115=$A$104)))</f>
        <v>#DIV/0!</v>
      </c>
      <c r="CM40" s="335" t="e">
        <f t="array" ref="CM40">SUM(IF($F40:$CA40=нет,0,IF($F40:$CA40&gt;=$F$16:$CA$16,$F$16:$CA$16,IF($F40:$CA40&lt;$F$17:$CA$17,0,$F40:$CA40)))*$F$11:$CA$11*($F$104:$CA$104=CM$4)/$F$16:$CA$16*($F$106:$CA$115*($B$106:$B$115=$B40)*($A$106:$A$115=$A$104)))</f>
        <v>#DIV/0!</v>
      </c>
      <c r="CO40" s="1000" t="e">
        <f t="array" ref="CO40">SUM(IF($F40:$CA40=нет,0,100)*$F$11:$CA$11*($F$104:$CA$104=CO$4)/100*($F$106:$CA$115*($B$106:$B$115=$B40)*($A$106:$A$115=$A$104)))</f>
        <v>#DIV/0!</v>
      </c>
      <c r="CP40" s="1000" t="e">
        <f t="array" ref="CP40">SUM(IF($F40:$CA40=нет,0,100)*$F$11:$CA$11*($F$104:$CA$104=CP$4)/100*($F$106:$CA$115*($B$106:$B$115=$B40)*($A$106:$A$115=$A$104)))</f>
        <v>#DIV/0!</v>
      </c>
      <c r="CQ40" s="1000" t="e">
        <f t="array" ref="CQ40">SUM(IF($F40:$CA40=нет,0,100)*$F$11:$CA$11*($F$105:$CA$105=CQ$4)/100*($F$106:$CA$115*($B$106:$B$115=$B40)*($A$106:$A$115=$A$104)))</f>
        <v>#DIV/0!</v>
      </c>
      <c r="CR40" s="1057">
        <f>'НУ(ВИД3)'!E41</f>
        <v>21</v>
      </c>
      <c r="CS40" s="1000" t="e">
        <f t="array" ref="CS40">SUM(IF($F40:$CA40=нет,0,100)*$F$11:$CA$11*($F$104:$CA$104=CS$4)/100*($F$106:$CA$115*($B$106:$B$115=$B40)*($A$106:$A$115=$A$104)))</f>
        <v>#DIV/0!</v>
      </c>
      <c r="CT40" s="1000" t="e">
        <f t="array" ref="CT40">SUM(IF($F40:$CA40=нет,0,100)*$F$11:$CA$11*($F$104:$CA$104=CT$4)/100*($F$106:$CA$115*($B$106:$B$115=$B40)*($A$106:$A$115=$A$104)))</f>
        <v>#DIV/0!</v>
      </c>
      <c r="CU40" s="1000" t="e">
        <f t="array" ref="CU40">SUM(IF($F40:$CA40=нет,0,100)*$F$11:$CA$11*($F$104:$CA$104=CU$4)/100*($F$106:$CA$115*($B$106:$B$115=$B40)*($A$106:$A$115=$A$104)))</f>
        <v>#DIV/0!</v>
      </c>
      <c r="CW40" s="333" t="e">
        <f>SUM(CG40:CH40,CJ40:CM40,'Реестр ППС'!#REF!,' "Вуз зож"'!S40)</f>
        <v>#REF!</v>
      </c>
      <c r="CX40" s="333" t="e">
        <f>SUM(CO40:CP40,CR40:CU40,'Реестр ППС'!#REF!,' "Вуз зож"'!T40)</f>
        <v>#REF!</v>
      </c>
      <c r="CY40" s="332" t="e">
        <f t="shared" si="10"/>
        <v>#REF!</v>
      </c>
      <c r="DA40" s="336" t="e">
        <f>SUM(CI40:CK40,CM40,'Реестр ППС'!#REF!,' "Вуз зож"'!S40)</f>
        <v>#REF!</v>
      </c>
      <c r="DB40" s="336" t="e">
        <f>SUM(CQ40:CS40,CU40,'Реестр ППС'!#REF!,' "Вуз зож"'!T40)</f>
        <v>#REF!</v>
      </c>
      <c r="DC40" s="332" t="e">
        <f t="shared" si="37"/>
        <v>#REF!</v>
      </c>
      <c r="DD40" s="961"/>
      <c r="DE40" s="337" t="e">
        <f t="shared" si="11"/>
        <v>#DIV/0!</v>
      </c>
      <c r="DF40" s="337" t="e">
        <f t="shared" si="12"/>
        <v>#DIV/0!</v>
      </c>
      <c r="DG40" s="337" t="e">
        <f t="shared" si="13"/>
        <v>#DIV/0!</v>
      </c>
      <c r="DH40" s="337" t="e">
        <f t="shared" si="14"/>
        <v>#DIV/0!</v>
      </c>
      <c r="DI40" s="337" t="e">
        <f t="shared" si="15"/>
        <v>#DIV/0!</v>
      </c>
      <c r="DJ40" s="337" t="e">
        <f t="shared" si="16"/>
        <v>#DIV/0!</v>
      </c>
      <c r="DK40" s="337" t="e">
        <f t="shared" si="17"/>
        <v>#DIV/0!</v>
      </c>
      <c r="DL40" s="334" t="str">
        <f t="shared" si="4"/>
        <v>Онкологии, лучевой терапии с курсом ДПО</v>
      </c>
      <c r="DM40" s="215" t="str">
        <f t="shared" si="18"/>
        <v>ПЕДИАТРИИ</v>
      </c>
      <c r="DN40" s="1505" t="e">
        <f t="shared" si="38"/>
        <v>#REF!</v>
      </c>
      <c r="DO40" s="338"/>
      <c r="DP40" s="338"/>
      <c r="DQ40" s="338"/>
      <c r="DR40" s="318"/>
      <c r="DS40" s="318"/>
      <c r="DT40" s="318"/>
      <c r="DU40" s="318"/>
      <c r="DV40" s="318"/>
      <c r="DW40" s="318"/>
      <c r="DX40" s="318"/>
    </row>
    <row r="41" spans="1:128" s="215" customFormat="1" ht="15.75" thickBot="1" x14ac:dyDescent="0.25">
      <c r="A41" s="550" t="s">
        <v>414</v>
      </c>
      <c r="B41" s="340" t="s">
        <v>7</v>
      </c>
      <c r="C41" s="482">
        <f>Кадры!C41</f>
        <v>0</v>
      </c>
      <c r="D41" s="987" t="str">
        <f>CC41</f>
        <v>ПЕДИАТРИИ</v>
      </c>
      <c r="E41" s="341" t="s">
        <v>16</v>
      </c>
      <c r="F41" s="341" t="s">
        <v>31</v>
      </c>
      <c r="G41" s="909"/>
      <c r="H41" s="817">
        <f t="shared" si="5"/>
        <v>100</v>
      </c>
      <c r="I41" s="1748"/>
      <c r="J41" s="860">
        <f t="shared" si="6"/>
        <v>100</v>
      </c>
      <c r="K41" s="920">
        <f>МероприятияВуза!$AR41+МероприятияВуза!$AQ41</f>
        <v>0</v>
      </c>
      <c r="L41" s="919">
        <f>МероприятияВуза!$G41+МероприятияВуза!$H41</f>
        <v>0</v>
      </c>
      <c r="M41" s="925" t="str">
        <f t="shared" si="20"/>
        <v>нет</v>
      </c>
      <c r="N41" s="923">
        <f>МероприятияВуза!$AS41</f>
        <v>0</v>
      </c>
      <c r="O41" s="919">
        <f>МероприятияВуза!$I41+МероприятияВуза!$J41</f>
        <v>0</v>
      </c>
      <c r="P41" s="925" t="str">
        <f t="shared" si="21"/>
        <v>нет</v>
      </c>
      <c r="Q41" s="1844"/>
      <c r="R41" s="817">
        <f t="shared" si="22"/>
        <v>100</v>
      </c>
      <c r="S41" s="1847"/>
      <c r="T41" s="1848"/>
      <c r="U41" s="844" t="str">
        <f t="shared" si="23"/>
        <v>нет</v>
      </c>
      <c r="V41" s="904"/>
      <c r="W41" s="909"/>
      <c r="X41" s="844" t="str">
        <f t="shared" si="7"/>
        <v>нет</v>
      </c>
      <c r="Y41" s="1857"/>
      <c r="Z41" s="1858"/>
      <c r="AA41" s="844" t="str">
        <f t="shared" si="8"/>
        <v>нет</v>
      </c>
      <c r="AB41" s="1748"/>
      <c r="AC41" s="909"/>
      <c r="AD41" s="912" t="str">
        <f t="shared" si="24"/>
        <v>нет</v>
      </c>
      <c r="AE41" s="947"/>
      <c r="AF41" s="949"/>
      <c r="AG41" s="844" t="str">
        <f t="shared" si="9"/>
        <v>нет</v>
      </c>
      <c r="AH41" s="951"/>
      <c r="AI41" s="949"/>
      <c r="AJ41" s="844" t="str">
        <f t="shared" si="25"/>
        <v>нет</v>
      </c>
      <c r="AK41" s="935">
        <f>ПрофРабота!$Q41</f>
        <v>0</v>
      </c>
      <c r="AL41" s="485">
        <f>ПрофРабота!$R41</f>
        <v>0</v>
      </c>
      <c r="AM41" s="485">
        <f>ПрофРабота!$S41</f>
        <v>0</v>
      </c>
      <c r="AN41" s="817">
        <f>ПрофРабота!$C41</f>
        <v>0</v>
      </c>
      <c r="AO41" s="923">
        <f>МероприятияВуза!$AT41</f>
        <v>0</v>
      </c>
      <c r="AP41" s="919">
        <f>МероприятияВуза!$K41</f>
        <v>0</v>
      </c>
      <c r="AQ41" s="817" t="str">
        <f t="shared" si="26"/>
        <v>нет</v>
      </c>
      <c r="AR41" s="938">
        <f>'ДПО(Финансы)'!$R41</f>
        <v>0</v>
      </c>
      <c r="AS41" s="939">
        <f>'ДПО(Финансы)'!$D41</f>
        <v>42000</v>
      </c>
      <c r="AT41" s="510">
        <f t="shared" si="27"/>
        <v>0</v>
      </c>
      <c r="AU41" s="1519">
        <f t="shared" si="28"/>
        <v>0</v>
      </c>
      <c r="AV41" s="938">
        <f>'ДПО(Финансы)'!$R41</f>
        <v>0</v>
      </c>
      <c r="AW41" s="939">
        <f>'ИДО(Финансы)'!$R41</f>
        <v>0</v>
      </c>
      <c r="AX41" s="939">
        <f>'ДПО(Финансы)'!$S41</f>
        <v>45300</v>
      </c>
      <c r="AY41" s="939">
        <f>'ИДО(Финансы)'!$S41</f>
        <v>0</v>
      </c>
      <c r="AZ41" s="839" t="e">
        <f t="shared" si="0"/>
        <v>#DIV/0!</v>
      </c>
      <c r="BA41" s="1520">
        <f t="array" ref="BA41">IF(($E41="да"),IF($AX41=0,"нет",$AV41/$AX41*100-100),"нет")</f>
        <v>-100</v>
      </c>
      <c r="BB41" s="1521">
        <f t="array" ref="BB41">IF(($E41="да"),IF($AX41=0,"нет",$AV41/$AX41*100),"нет")</f>
        <v>0</v>
      </c>
      <c r="BC41" s="1522">
        <f t="shared" si="1"/>
        <v>0</v>
      </c>
      <c r="BD41" s="1522" t="e">
        <f t="array" ref="BD41">IF(($E41="да"),IF($AZ41&gt;$AZ$17,$AZ41/$AZ$16*BD$16,нет),нет)</f>
        <v>#DIV/0!</v>
      </c>
      <c r="BE41" s="938">
        <f>'ИДО(Финансы)'!$R41</f>
        <v>0</v>
      </c>
      <c r="BF41" s="939">
        <f>'ИДО(Финансы)'!D41</f>
        <v>0</v>
      </c>
      <c r="BG41" s="510" t="str">
        <f t="shared" si="29"/>
        <v>нет</v>
      </c>
      <c r="BH41" s="1519" t="str">
        <f t="shared" si="30"/>
        <v>нет</v>
      </c>
      <c r="BI41" s="1523">
        <f t="array" ref="BI41">IF(($E41="да")+($F41="да"),IF((BF41+AS41)=0,"нет",(AR41+BE41)/(BF41+AS41)*100),"нет")</f>
        <v>0</v>
      </c>
      <c r="BJ41" s="829">
        <f>Кадры!$I41</f>
        <v>0</v>
      </c>
      <c r="BK41" s="940">
        <f>Кадры!$O41</f>
        <v>0</v>
      </c>
      <c r="BL41" s="941">
        <f>Кадры!$K41</f>
        <v>0</v>
      </c>
      <c r="BM41" s="821" t="str">
        <f t="array" ref="BM41">IF(BL41=0,"нет",BK41/BL41*100)</f>
        <v>нет</v>
      </c>
      <c r="BN41" s="923">
        <f>Кадры!E41</f>
        <v>0</v>
      </c>
      <c r="BO41" s="941">
        <f>Кадры!$K41</f>
        <v>0</v>
      </c>
      <c r="BP41" s="343" t="str">
        <f t="shared" si="31"/>
        <v>нет</v>
      </c>
      <c r="BQ41" s="342" t="e">
        <f t="shared" si="32"/>
        <v>#DIV/0!</v>
      </c>
      <c r="BR41" s="940">
        <f>Кадры!$L41</f>
        <v>0</v>
      </c>
      <c r="BS41" s="1544">
        <f>Кадры!$J41</f>
        <v>0</v>
      </c>
      <c r="BT41" s="343">
        <f t="shared" si="33"/>
        <v>0</v>
      </c>
      <c r="BU41" s="817">
        <f t="shared" si="34"/>
        <v>100</v>
      </c>
      <c r="BV41" s="923">
        <f>Кадры!$D41</f>
        <v>0</v>
      </c>
      <c r="BW41" s="919">
        <f>Кадры!$F41</f>
        <v>0</v>
      </c>
      <c r="BX41" s="817" t="e">
        <f t="shared" si="35"/>
        <v>#DIV/0!</v>
      </c>
      <c r="BY41" s="940">
        <f>Кадры!$P41</f>
        <v>0</v>
      </c>
      <c r="BZ41" s="941">
        <f>Кадры!$L41</f>
        <v>0</v>
      </c>
      <c r="CA41" s="342" t="str">
        <f t="shared" si="36"/>
        <v>нет</v>
      </c>
      <c r="CC41" s="987" t="s">
        <v>332</v>
      </c>
      <c r="CD41" s="268"/>
      <c r="CE41" s="961"/>
      <c r="CG41" s="335" t="e">
        <f t="array" ref="CG41">SUM(IF($F41:$CA41=нет,0,IF($F41:$CA41&gt;=$F$16:$CA$16,$F$16:$CA$16,IF($F41:$CA41&lt;$F$17:$CA$17,0,$F41:$CA41)))*$F$11:$CA$11*($F$104:$CA$104=CG$4)/$F$16:$CA$16*($F$106:$CA$115*($B$106:$B$115=$B41)*($A$106:$A$115=$A$104)))</f>
        <v>#DIV/0!</v>
      </c>
      <c r="CH41" s="335" t="e">
        <f t="array" ref="CH41">SUM(IF($F41:$CA41=нет,0,IF($F41:$CA41&gt;=$F$16:$CA$16,$F$16:$CA$16,IF($F41:$CA41&lt;$F$17:$CA$17,0,$F41:$CA41)))*$F$11:$CA$11*($F$104:$CA$104=CH$4)/$F$16:$CA$16*($F$106:$CA$115*($B$106:$B$115=$B41)*($A$106:$A$115=$A$104)))</f>
        <v>#DIV/0!</v>
      </c>
      <c r="CI41" s="335" t="e">
        <f t="array" ref="CI41">SUM(IF($F41:$CA41=нет,0,IF($F41:$CA41&gt;=$F$16:$CA$16,$F$16:$CA$16,IF($F41:$CA41&lt;$F$17:$CA$17,0,$F41:$CA41)))*$F$11:$CA$11*($F$105:$CA$105=CI$4)/$F$16:$CA$16*($F$106:$CA$115*($B$106:$B$115=$B41)*($A$106:$A$115=$A$104)))</f>
        <v>#DIV/0!</v>
      </c>
      <c r="CJ41" s="1072" t="e">
        <f>'НУ(ВИД3)'!D42</f>
        <v>#DIV/0!</v>
      </c>
      <c r="CK41" s="335" t="e">
        <f t="array" ref="CK41">SUM(IF($F41:$CA41=нет,0,IF($F41:$CA41&gt;=$F$16:$CA$16,$F$16:$CA$16,IF($F41:$CA41&lt;$F$17:$CA$17,0,$F41:$CA41)))*$F$11:$CA$11*($F$104:$CA$104=CK$4)/$F$16:$CA$16*($F$106:$CA$115*($B$106:$B$115=$B41)*($A$106:$A$115=$A$104)))</f>
        <v>#DIV/0!</v>
      </c>
      <c r="CL41" s="335" t="e">
        <f t="array" ref="CL41">SUM(IF($F41:$CA41=нет,0,IF($F41:$CA41&gt;=$F$16:$CA$16,$F$16:$CA$16,IF($F41:$CA41&lt;$F$17:$CA$17,0,$F41:$CA41)))*$F$11:$CA$11*($F$104:$CA$104=CL$4)/$F$16:$CA$16*($F$106:$CA$115*($B$106:$B$115=$B41)*($A$106:$A$115=$A$104)))</f>
        <v>#DIV/0!</v>
      </c>
      <c r="CM41" s="335" t="e">
        <f t="array" ref="CM41">SUM(IF($F41:$CA41=нет,0,IF($F41:$CA41&gt;=$F$16:$CA$16,$F$16:$CA$16,IF($F41:$CA41&lt;$F$17:$CA$17,0,$F41:$CA41)))*$F$11:$CA$11*($F$104:$CA$104=CM$4)/$F$16:$CA$16*($F$106:$CA$115*($B$106:$B$115=$B41)*($A$106:$A$115=$A$104)))</f>
        <v>#DIV/0!</v>
      </c>
      <c r="CO41" s="1000" t="e">
        <f t="array" ref="CO41">SUM(IF($F41:$CA41=нет,0,100)*$F$11:$CA$11*($F$104:$CA$104=CO$4)/100*($F$106:$CA$115*($B$106:$B$115=$B41)*($A$106:$A$115=$A$104)))</f>
        <v>#DIV/0!</v>
      </c>
      <c r="CP41" s="1000" t="e">
        <f t="array" ref="CP41">SUM(IF($F41:$CA41=нет,0,100)*$F$11:$CA$11*($F$104:$CA$104=CP$4)/100*($F$106:$CA$115*($B$106:$B$115=$B41)*($A$106:$A$115=$A$104)))</f>
        <v>#DIV/0!</v>
      </c>
      <c r="CQ41" s="1000" t="e">
        <f t="array" ref="CQ41">SUM(IF($F41:$CA41=нет,0,100)*$F$11:$CA$11*($F$105:$CA$105=CQ$4)/100*($F$106:$CA$115*($B$106:$B$115=$B41)*($A$106:$A$115=$A$104)))</f>
        <v>#DIV/0!</v>
      </c>
      <c r="CR41" s="1057">
        <f>'НУ(ВИД3)'!E42</f>
        <v>21</v>
      </c>
      <c r="CS41" s="1000" t="e">
        <f t="array" ref="CS41">SUM(IF($F41:$CA41=нет,0,100)*$F$11:$CA$11*($F$104:$CA$104=CS$4)/100*($F$106:$CA$115*($B$106:$B$115=$B41)*($A$106:$A$115=$A$104)))</f>
        <v>#DIV/0!</v>
      </c>
      <c r="CT41" s="1000" t="e">
        <f t="array" ref="CT41">SUM(IF($F41:$CA41=нет,0,100)*$F$11:$CA$11*($F$104:$CA$104=CT$4)/100*($F$106:$CA$115*($B$106:$B$115=$B41)*($A$106:$A$115=$A$104)))</f>
        <v>#DIV/0!</v>
      </c>
      <c r="CU41" s="1000" t="e">
        <f t="array" ref="CU41">SUM(IF($F41:$CA41=нет,0,100)*$F$11:$CA$11*($F$104:$CA$104=CU$4)/100*($F$106:$CA$115*($B$106:$B$115=$B41)*($A$106:$A$115=$A$104)))</f>
        <v>#DIV/0!</v>
      </c>
      <c r="CW41" s="333" t="e">
        <f>SUM(CG41:CH41,CJ41:CM41,'Реестр ППС'!#REF!,' "Вуз зож"'!S41)</f>
        <v>#REF!</v>
      </c>
      <c r="CX41" s="333" t="e">
        <f>SUM(CO41:CP41,CR41:CU41,'Реестр ППС'!#REF!,' "Вуз зож"'!T41)</f>
        <v>#REF!</v>
      </c>
      <c r="CY41" s="332" t="e">
        <f t="shared" si="10"/>
        <v>#REF!</v>
      </c>
      <c r="DA41" s="336" t="e">
        <f>SUM(CI41:CK41,CM41,'Реестр ППС'!#REF!,' "Вуз зож"'!S41)</f>
        <v>#REF!</v>
      </c>
      <c r="DB41" s="336" t="e">
        <f>SUM(CQ41:CS41,CU41,'Реестр ППС'!#REF!,' "Вуз зож"'!T41)</f>
        <v>#REF!</v>
      </c>
      <c r="DC41" s="332" t="e">
        <f t="shared" si="37"/>
        <v>#REF!</v>
      </c>
      <c r="DD41" s="961"/>
      <c r="DE41" s="337" t="e">
        <f t="shared" si="11"/>
        <v>#DIV/0!</v>
      </c>
      <c r="DF41" s="337" t="e">
        <f t="shared" si="12"/>
        <v>#DIV/0!</v>
      </c>
      <c r="DG41" s="337" t="e">
        <f t="shared" si="13"/>
        <v>#DIV/0!</v>
      </c>
      <c r="DH41" s="337" t="e">
        <f t="shared" si="14"/>
        <v>#DIV/0!</v>
      </c>
      <c r="DI41" s="337" t="e">
        <f t="shared" si="15"/>
        <v>#DIV/0!</v>
      </c>
      <c r="DJ41" s="337" t="e">
        <f t="shared" si="16"/>
        <v>#DIV/0!</v>
      </c>
      <c r="DK41" s="337" t="e">
        <f t="shared" si="17"/>
        <v>#DIV/0!</v>
      </c>
      <c r="DL41" s="334" t="str">
        <f t="shared" si="4"/>
        <v>Офтальмологии с курсом ДПО</v>
      </c>
      <c r="DM41" s="215" t="str">
        <f t="shared" si="18"/>
        <v>ПЕДИАТРИИ</v>
      </c>
      <c r="DN41" s="1505" t="e">
        <f t="shared" si="38"/>
        <v>#REF!</v>
      </c>
      <c r="DO41" s="338"/>
      <c r="DP41" s="338"/>
      <c r="DQ41" s="338"/>
      <c r="DR41" s="318"/>
      <c r="DS41" s="318"/>
      <c r="DT41" s="318"/>
      <c r="DU41" s="318"/>
      <c r="DV41" s="318"/>
      <c r="DW41" s="318"/>
      <c r="DX41" s="318"/>
    </row>
    <row r="42" spans="1:128" s="215" customFormat="1" ht="15.75" thickBot="1" x14ac:dyDescent="0.25">
      <c r="A42" s="550" t="s">
        <v>102</v>
      </c>
      <c r="B42" s="340" t="s">
        <v>7</v>
      </c>
      <c r="C42" s="482">
        <f>Кадры!C42</f>
        <v>0</v>
      </c>
      <c r="D42" s="987" t="str">
        <f>CC42</f>
        <v>ПЕДИАТРИИ</v>
      </c>
      <c r="E42" s="341" t="s">
        <v>16</v>
      </c>
      <c r="F42" s="341" t="s">
        <v>31</v>
      </c>
      <c r="G42" s="909"/>
      <c r="H42" s="817">
        <f t="shared" si="5"/>
        <v>100</v>
      </c>
      <c r="I42" s="1748"/>
      <c r="J42" s="860">
        <f t="shared" si="6"/>
        <v>100</v>
      </c>
      <c r="K42" s="920">
        <f>МероприятияВуза!$AR42+МероприятияВуза!$AQ42</f>
        <v>0</v>
      </c>
      <c r="L42" s="919">
        <f>МероприятияВуза!$G42+МероприятияВуза!$H42</f>
        <v>0</v>
      </c>
      <c r="M42" s="925" t="str">
        <f t="shared" si="20"/>
        <v>нет</v>
      </c>
      <c r="N42" s="923">
        <f>МероприятияВуза!$AS42</f>
        <v>0</v>
      </c>
      <c r="O42" s="919">
        <f>МероприятияВуза!$I42+МероприятияВуза!$J42</f>
        <v>0</v>
      </c>
      <c r="P42" s="925" t="str">
        <f t="shared" si="21"/>
        <v>нет</v>
      </c>
      <c r="Q42" s="1844"/>
      <c r="R42" s="817">
        <f t="shared" si="22"/>
        <v>100</v>
      </c>
      <c r="S42" s="1847"/>
      <c r="T42" s="1848"/>
      <c r="U42" s="844" t="str">
        <f t="shared" si="23"/>
        <v>нет</v>
      </c>
      <c r="V42" s="904"/>
      <c r="W42" s="909"/>
      <c r="X42" s="844" t="str">
        <f t="shared" si="7"/>
        <v>нет</v>
      </c>
      <c r="Y42" s="1857"/>
      <c r="Z42" s="1858"/>
      <c r="AA42" s="844" t="str">
        <f t="shared" si="8"/>
        <v>нет</v>
      </c>
      <c r="AB42" s="1748"/>
      <c r="AC42" s="909"/>
      <c r="AD42" s="912" t="str">
        <f t="shared" si="24"/>
        <v>нет</v>
      </c>
      <c r="AE42" s="947"/>
      <c r="AF42" s="949"/>
      <c r="AG42" s="844" t="str">
        <f t="shared" si="9"/>
        <v>нет</v>
      </c>
      <c r="AH42" s="951"/>
      <c r="AI42" s="949"/>
      <c r="AJ42" s="844" t="str">
        <f t="shared" si="25"/>
        <v>нет</v>
      </c>
      <c r="AK42" s="935">
        <f>ПрофРабота!$Q42</f>
        <v>0</v>
      </c>
      <c r="AL42" s="485">
        <f>ПрофРабота!$R42</f>
        <v>0</v>
      </c>
      <c r="AM42" s="485">
        <f>ПрофРабота!$S42</f>
        <v>0</v>
      </c>
      <c r="AN42" s="817">
        <f>ПрофРабота!$C42</f>
        <v>0</v>
      </c>
      <c r="AO42" s="923">
        <f>МероприятияВуза!$AT42</f>
        <v>0</v>
      </c>
      <c r="AP42" s="919">
        <f>МероприятияВуза!$K42</f>
        <v>0</v>
      </c>
      <c r="AQ42" s="817" t="str">
        <f t="shared" si="26"/>
        <v>нет</v>
      </c>
      <c r="AR42" s="938">
        <f>'ДПО(Финансы)'!$R42</f>
        <v>0</v>
      </c>
      <c r="AS42" s="939">
        <f>'ДПО(Финансы)'!$D42</f>
        <v>0</v>
      </c>
      <c r="AT42" s="510">
        <f t="shared" si="27"/>
        <v>0</v>
      </c>
      <c r="AU42" s="1519" t="str">
        <f t="shared" si="28"/>
        <v>нет</v>
      </c>
      <c r="AV42" s="938">
        <f>'ДПО(Финансы)'!$R42</f>
        <v>0</v>
      </c>
      <c r="AW42" s="939">
        <f>'ИДО(Финансы)'!$R42</f>
        <v>0</v>
      </c>
      <c r="AX42" s="939">
        <f>'ДПО(Финансы)'!$S42</f>
        <v>0</v>
      </c>
      <c r="AY42" s="939">
        <f>'ИДО(Финансы)'!$S42</f>
        <v>0</v>
      </c>
      <c r="AZ42" s="839" t="e">
        <f t="shared" si="0"/>
        <v>#DIV/0!</v>
      </c>
      <c r="BA42" s="1520" t="str">
        <f t="array" ref="BA42">IF(($E42="да"),IF($AX42=0,"нет",$AV42/$AX42*100-100),"нет")</f>
        <v>нет</v>
      </c>
      <c r="BB42" s="1521" t="str">
        <f t="array" ref="BB42">IF(($E42="да"),IF($AX42=0,"нет",$AV42/$AX42*100),"нет")</f>
        <v>нет</v>
      </c>
      <c r="BC42" s="1522" t="str">
        <f t="shared" si="1"/>
        <v>нет</v>
      </c>
      <c r="BD42" s="1522" t="e">
        <f t="array" ref="BD42">IF(($E42="да"),IF($AZ42&gt;$AZ$17,$AZ42/$AZ$16*BD$16,нет),нет)</f>
        <v>#DIV/0!</v>
      </c>
      <c r="BE42" s="938">
        <f>'ИДО(Финансы)'!$R42</f>
        <v>0</v>
      </c>
      <c r="BF42" s="939">
        <f>'ИДО(Финансы)'!D42</f>
        <v>0</v>
      </c>
      <c r="BG42" s="510" t="str">
        <f t="shared" si="29"/>
        <v>нет</v>
      </c>
      <c r="BH42" s="1519" t="str">
        <f t="shared" si="30"/>
        <v>нет</v>
      </c>
      <c r="BI42" s="1523" t="str">
        <f t="array" ref="BI42">IF(($E42="да")+($F42="да"),IF((BF42+AS42)=0,"нет",(AR42+BE42)/(BF42+AS42)*100),"нет")</f>
        <v>нет</v>
      </c>
      <c r="BJ42" s="829">
        <f>Кадры!$I42</f>
        <v>0</v>
      </c>
      <c r="BK42" s="940">
        <f>Кадры!$O42</f>
        <v>0</v>
      </c>
      <c r="BL42" s="941">
        <f>Кадры!$K42</f>
        <v>0</v>
      </c>
      <c r="BM42" s="821" t="str">
        <f t="array" ref="BM42">IF(BL42=0,"нет",BK42/BL42*100)</f>
        <v>нет</v>
      </c>
      <c r="BN42" s="923">
        <f>Кадры!E42</f>
        <v>0</v>
      </c>
      <c r="BO42" s="941">
        <f>Кадры!$K42</f>
        <v>0</v>
      </c>
      <c r="BP42" s="343" t="str">
        <f t="shared" si="31"/>
        <v>нет</v>
      </c>
      <c r="BQ42" s="342">
        <v>120</v>
      </c>
      <c r="BR42" s="940">
        <f>Кадры!$L42</f>
        <v>0</v>
      </c>
      <c r="BS42" s="1544">
        <f>Кадры!$J42</f>
        <v>0</v>
      </c>
      <c r="BT42" s="343">
        <f t="shared" si="33"/>
        <v>0</v>
      </c>
      <c r="BU42" s="817">
        <f t="shared" si="34"/>
        <v>100</v>
      </c>
      <c r="BV42" s="923">
        <f>Кадры!$D42</f>
        <v>0</v>
      </c>
      <c r="BW42" s="919">
        <f>Кадры!$F42</f>
        <v>0</v>
      </c>
      <c r="BX42" s="817" t="e">
        <f t="shared" si="35"/>
        <v>#DIV/0!</v>
      </c>
      <c r="BY42" s="940">
        <f>Кадры!$P42</f>
        <v>0</v>
      </c>
      <c r="BZ42" s="941">
        <f>Кадры!$L42</f>
        <v>0</v>
      </c>
      <c r="CA42" s="342" t="str">
        <f t="shared" si="36"/>
        <v>нет</v>
      </c>
      <c r="CC42" s="987" t="s">
        <v>332</v>
      </c>
      <c r="CD42" s="268"/>
      <c r="CE42" s="961"/>
      <c r="CG42" s="335" t="e">
        <f t="array" ref="CG42">SUM(IF($F42:$CA42=нет,0,IF($F42:$CA42&gt;=$F$16:$CA$16,$F$16:$CA$16,IF($F42:$CA42&lt;$F$17:$CA$17,0,$F42:$CA42)))*$F$11:$CA$11*($F$104:$CA$104=CG$4)/$F$16:$CA$16*($F$106:$CA$115*($B$106:$B$115=$B42)*($A$106:$A$115=$A$104)))</f>
        <v>#DIV/0!</v>
      </c>
      <c r="CH42" s="335" t="e">
        <f t="array" ref="CH42">SUM(IF($F42:$CA42=нет,0,IF($F42:$CA42&gt;=$F$16:$CA$16,$F$16:$CA$16,IF($F42:$CA42&lt;$F$17:$CA$17,0,$F42:$CA42)))*$F$11:$CA$11*($F$104:$CA$104=CH$4)/$F$16:$CA$16*($F$106:$CA$115*($B$106:$B$115=$B42)*($A$106:$A$115=$A$104)))</f>
        <v>#DIV/0!</v>
      </c>
      <c r="CI42" s="335" t="e">
        <f t="array" ref="CI42">SUM(IF($F42:$CA42=нет,0,IF($F42:$CA42&gt;=$F$16:$CA$16,$F$16:$CA$16,IF($F42:$CA42&lt;$F$17:$CA$17,0,$F42:$CA42)))*$F$11:$CA$11*($F$105:$CA$105=CI$4)/$F$16:$CA$16*($F$106:$CA$115*($B$106:$B$115=$B42)*($A$106:$A$115=$A$104)))</f>
        <v>#DIV/0!</v>
      </c>
      <c r="CJ42" s="1072" t="e">
        <f>'НУ(ВИД3)'!D43</f>
        <v>#DIV/0!</v>
      </c>
      <c r="CK42" s="335" t="e">
        <f t="array" ref="CK42">SUM(IF($F42:$CA42=нет,0,IF($F42:$CA42&gt;=$F$16:$CA$16,$F$16:$CA$16,IF($F42:$CA42&lt;$F$17:$CA$17,0,$F42:$CA42)))*$F$11:$CA$11*($F$104:$CA$104=CK$4)/$F$16:$CA$16*($F$106:$CA$115*($B$106:$B$115=$B42)*($A$106:$A$115=$A$104)))</f>
        <v>#DIV/0!</v>
      </c>
      <c r="CL42" s="335" t="e">
        <f t="array" ref="CL42">SUM(IF($F42:$CA42=нет,0,IF($F42:$CA42&gt;=$F$16:$CA$16,$F$16:$CA$16,IF($F42:$CA42&lt;$F$17:$CA$17,0,$F42:$CA42)))*$F$11:$CA$11*($F$104:$CA$104=CL$4)/$F$16:$CA$16*($F$106:$CA$115*($B$106:$B$115=$B42)*($A$106:$A$115=$A$104)))</f>
        <v>#DIV/0!</v>
      </c>
      <c r="CM42" s="335" t="e">
        <f t="array" ref="CM42">SUM(IF($F42:$CA42=нет,0,IF($F42:$CA42&gt;=$F$16:$CA$16,$F$16:$CA$16,IF($F42:$CA42&lt;$F$17:$CA$17,0,$F42:$CA42)))*$F$11:$CA$11*($F$104:$CA$104=CM$4)/$F$16:$CA$16*($F$106:$CA$115*($B$106:$B$115=$B42)*($A$106:$A$115=$A$104)))</f>
        <v>#DIV/0!</v>
      </c>
      <c r="CO42" s="1000" t="e">
        <f t="array" ref="CO42">SUM(IF($F42:$CA42=нет,0,100)*$F$11:$CA$11*($F$104:$CA$104=CO$4)/100*($F$106:$CA$115*($B$106:$B$115=$B42)*($A$106:$A$115=$A$104)))</f>
        <v>#DIV/0!</v>
      </c>
      <c r="CP42" s="1000" t="e">
        <f t="array" ref="CP42">SUM(IF($F42:$CA42=нет,0,100)*$F$11:$CA$11*($F$104:$CA$104=CP$4)/100*($F$106:$CA$115*($B$106:$B$115=$B42)*($A$106:$A$115=$A$104)))</f>
        <v>#DIV/0!</v>
      </c>
      <c r="CQ42" s="1000" t="e">
        <f t="array" ref="CQ42">SUM(IF($F42:$CA42=нет,0,100)*$F$11:$CA$11*($F$105:$CA$105=CQ$4)/100*($F$106:$CA$115*($B$106:$B$115=$B42)*($A$106:$A$115=$A$104)))</f>
        <v>#DIV/0!</v>
      </c>
      <c r="CR42" s="1057">
        <f>'НУ(ВИД3)'!E43</f>
        <v>21</v>
      </c>
      <c r="CS42" s="1000" t="e">
        <f t="array" ref="CS42">SUM(IF($F42:$CA42=нет,0,100)*$F$11:$CA$11*($F$104:$CA$104=CS$4)/100*($F$106:$CA$115*($B$106:$B$115=$B42)*($A$106:$A$115=$A$104)))</f>
        <v>#DIV/0!</v>
      </c>
      <c r="CT42" s="1000" t="e">
        <f t="array" ref="CT42">SUM(IF($F42:$CA42=нет,0,100)*$F$11:$CA$11*($F$104:$CA$104=CT$4)/100*($F$106:$CA$115*($B$106:$B$115=$B42)*($A$106:$A$115=$A$104)))</f>
        <v>#DIV/0!</v>
      </c>
      <c r="CU42" s="1000" t="e">
        <f t="array" ref="CU42">SUM(IF($F42:$CA42=нет,0,100)*$F$11:$CA$11*($F$104:$CA$104=CU$4)/100*($F$106:$CA$115*($B$106:$B$115=$B42)*($A$106:$A$115=$A$104)))</f>
        <v>#DIV/0!</v>
      </c>
      <c r="CW42" s="333" t="e">
        <f>SUM(CG42:CH42,CJ42:CM42,'Реестр ППС'!#REF!,' "Вуз зож"'!S42)</f>
        <v>#REF!</v>
      </c>
      <c r="CX42" s="333" t="e">
        <f>SUM(CO42:CP42,CR42:CU42,'Реестр ППС'!#REF!,' "Вуз зож"'!T42)</f>
        <v>#REF!</v>
      </c>
      <c r="CY42" s="332" t="e">
        <f t="shared" si="10"/>
        <v>#REF!</v>
      </c>
      <c r="DA42" s="336" t="e">
        <f>SUM(CI42:CK42,CM42,'Реестр ППС'!#REF!,' "Вуз зож"'!S42)</f>
        <v>#REF!</v>
      </c>
      <c r="DB42" s="336" t="e">
        <f>SUM(CQ42:CS42,CU42,'Реестр ППС'!#REF!,' "Вуз зож"'!T42)</f>
        <v>#REF!</v>
      </c>
      <c r="DC42" s="332" t="e">
        <f t="shared" si="37"/>
        <v>#REF!</v>
      </c>
      <c r="DD42" s="961"/>
      <c r="DE42" s="337" t="e">
        <f t="shared" si="11"/>
        <v>#DIV/0!</v>
      </c>
      <c r="DF42" s="337" t="e">
        <f t="shared" si="12"/>
        <v>#DIV/0!</v>
      </c>
      <c r="DG42" s="337" t="e">
        <f t="shared" si="13"/>
        <v>#DIV/0!</v>
      </c>
      <c r="DH42" s="337" t="e">
        <f t="shared" si="14"/>
        <v>#DIV/0!</v>
      </c>
      <c r="DI42" s="337" t="e">
        <f t="shared" si="15"/>
        <v>#DIV/0!</v>
      </c>
      <c r="DJ42" s="337" t="e">
        <f t="shared" si="16"/>
        <v>#DIV/0!</v>
      </c>
      <c r="DK42" s="337" t="e">
        <f t="shared" si="17"/>
        <v>#DIV/0!</v>
      </c>
      <c r="DL42" s="334" t="str">
        <f t="shared" si="4"/>
        <v>Патологической физиологии</v>
      </c>
      <c r="DM42" s="215" t="str">
        <f t="shared" si="18"/>
        <v>ПЕДИАТРИИ</v>
      </c>
      <c r="DN42" s="1505" t="e">
        <f t="shared" si="38"/>
        <v>#REF!</v>
      </c>
      <c r="DO42" s="338"/>
      <c r="DP42" s="338"/>
      <c r="DQ42" s="338"/>
      <c r="DR42" s="318"/>
      <c r="DS42" s="318"/>
      <c r="DT42" s="318"/>
      <c r="DU42" s="318"/>
      <c r="DV42" s="318"/>
      <c r="DW42" s="318"/>
      <c r="DX42" s="318"/>
    </row>
    <row r="43" spans="1:128" s="215" customFormat="1" ht="15.75" thickBot="1" x14ac:dyDescent="0.25">
      <c r="A43" s="550" t="s">
        <v>100</v>
      </c>
      <c r="B43" s="340" t="s">
        <v>7</v>
      </c>
      <c r="C43" s="482">
        <f>Кадры!C43</f>
        <v>0</v>
      </c>
      <c r="D43" s="987" t="str">
        <f t="shared" si="19"/>
        <v>ПЕДИАТРИИ</v>
      </c>
      <c r="E43" s="341" t="s">
        <v>16</v>
      </c>
      <c r="F43" s="341" t="s">
        <v>31</v>
      </c>
      <c r="G43" s="909"/>
      <c r="H43" s="817">
        <f t="shared" si="5"/>
        <v>100</v>
      </c>
      <c r="I43" s="1748"/>
      <c r="J43" s="860">
        <f t="shared" si="6"/>
        <v>100</v>
      </c>
      <c r="K43" s="920">
        <f>МероприятияВуза!$AR43+МероприятияВуза!$AQ43</f>
        <v>0</v>
      </c>
      <c r="L43" s="919">
        <f>МероприятияВуза!$G43+МероприятияВуза!$H43</f>
        <v>0</v>
      </c>
      <c r="M43" s="925" t="str">
        <f t="shared" si="20"/>
        <v>нет</v>
      </c>
      <c r="N43" s="923">
        <f>МероприятияВуза!$AS43</f>
        <v>0</v>
      </c>
      <c r="O43" s="919">
        <f>МероприятияВуза!$I43+МероприятияВуза!$J43</f>
        <v>0</v>
      </c>
      <c r="P43" s="925" t="str">
        <f t="shared" si="21"/>
        <v>нет</v>
      </c>
      <c r="Q43" s="1844"/>
      <c r="R43" s="817">
        <f t="shared" si="22"/>
        <v>100</v>
      </c>
      <c r="S43" s="1847"/>
      <c r="T43" s="1848"/>
      <c r="U43" s="844" t="str">
        <f t="shared" si="23"/>
        <v>нет</v>
      </c>
      <c r="V43" s="904"/>
      <c r="W43" s="909"/>
      <c r="X43" s="844" t="str">
        <f t="shared" si="7"/>
        <v>нет</v>
      </c>
      <c r="Y43" s="1857"/>
      <c r="Z43" s="1858"/>
      <c r="AA43" s="844" t="str">
        <f t="shared" si="8"/>
        <v>нет</v>
      </c>
      <c r="AB43" s="1748"/>
      <c r="AC43" s="909"/>
      <c r="AD43" s="912" t="str">
        <f t="shared" si="24"/>
        <v>нет</v>
      </c>
      <c r="AE43" s="947"/>
      <c r="AF43" s="949"/>
      <c r="AG43" s="844" t="str">
        <f t="shared" si="9"/>
        <v>нет</v>
      </c>
      <c r="AH43" s="951"/>
      <c r="AI43" s="949"/>
      <c r="AJ43" s="844" t="str">
        <f t="shared" si="25"/>
        <v>нет</v>
      </c>
      <c r="AK43" s="935">
        <f>ПрофРабота!$Q43</f>
        <v>0</v>
      </c>
      <c r="AL43" s="485">
        <f>ПрофРабота!$R43</f>
        <v>0</v>
      </c>
      <c r="AM43" s="485">
        <f>ПрофРабота!$S43</f>
        <v>0</v>
      </c>
      <c r="AN43" s="817">
        <f>ПрофРабота!$C43</f>
        <v>0</v>
      </c>
      <c r="AO43" s="923">
        <f>МероприятияВуза!$AT43</f>
        <v>0</v>
      </c>
      <c r="AP43" s="919">
        <f>МероприятияВуза!$K43</f>
        <v>0</v>
      </c>
      <c r="AQ43" s="817" t="str">
        <f t="shared" si="26"/>
        <v>нет</v>
      </c>
      <c r="AR43" s="938">
        <f>'ДПО(Финансы)'!$R43</f>
        <v>0</v>
      </c>
      <c r="AS43" s="939">
        <f>'ДПО(Финансы)'!$D43</f>
        <v>0</v>
      </c>
      <c r="AT43" s="510">
        <f t="shared" si="27"/>
        <v>0</v>
      </c>
      <c r="AU43" s="1519" t="str">
        <f t="shared" si="28"/>
        <v>нет</v>
      </c>
      <c r="AV43" s="938">
        <f>'ДПО(Финансы)'!$R43</f>
        <v>0</v>
      </c>
      <c r="AW43" s="939">
        <f>'ИДО(Финансы)'!$R43</f>
        <v>0</v>
      </c>
      <c r="AX43" s="939">
        <f>'ДПО(Финансы)'!$S43</f>
        <v>0</v>
      </c>
      <c r="AY43" s="939">
        <f>'ИДО(Финансы)'!$S43</f>
        <v>0</v>
      </c>
      <c r="AZ43" s="839" t="e">
        <f t="shared" si="0"/>
        <v>#DIV/0!</v>
      </c>
      <c r="BA43" s="1520" t="str">
        <f t="array" ref="BA43">IF(($E43="да"),IF($AX43=0,"нет",$AV43/$AX43*100-100),"нет")</f>
        <v>нет</v>
      </c>
      <c r="BB43" s="1521" t="str">
        <f t="array" ref="BB43">IF(($E43="да"),IF($AX43=0,"нет",$AV43/$AX43*100),"нет")</f>
        <v>нет</v>
      </c>
      <c r="BC43" s="1522" t="str">
        <f t="shared" si="1"/>
        <v>нет</v>
      </c>
      <c r="BD43" s="1522" t="e">
        <f t="array" ref="BD43">IF(($E43="да"),IF($AZ43&gt;$AZ$17,$AZ43/$AZ$16*BD$16,нет),нет)</f>
        <v>#DIV/0!</v>
      </c>
      <c r="BE43" s="938">
        <f>'ИДО(Финансы)'!$R43</f>
        <v>0</v>
      </c>
      <c r="BF43" s="939">
        <f>'ИДО(Финансы)'!D43</f>
        <v>0</v>
      </c>
      <c r="BG43" s="510" t="str">
        <f t="shared" si="29"/>
        <v>нет</v>
      </c>
      <c r="BH43" s="1519" t="str">
        <f t="shared" si="30"/>
        <v>нет</v>
      </c>
      <c r="BI43" s="1523" t="str">
        <f t="array" ref="BI43">IF(($E43="да")+($F43="да"),IF((BF43+AS43)=0,"нет",(AR43+BE43)/(BF43+AS43)*100),"нет")</f>
        <v>нет</v>
      </c>
      <c r="BJ43" s="829">
        <f>Кадры!$I43</f>
        <v>0</v>
      </c>
      <c r="BK43" s="940">
        <f>Кадры!$O43</f>
        <v>0</v>
      </c>
      <c r="BL43" s="941">
        <f>Кадры!$K43</f>
        <v>0</v>
      </c>
      <c r="BM43" s="821" t="str">
        <f t="array" ref="BM43">IF(BL43=0,"нет",BK43/BL43*100)</f>
        <v>нет</v>
      </c>
      <c r="BN43" s="923">
        <f>Кадры!E43</f>
        <v>0</v>
      </c>
      <c r="BO43" s="941">
        <f>Кадры!$K43</f>
        <v>0</v>
      </c>
      <c r="BP43" s="343" t="str">
        <f t="shared" si="31"/>
        <v>нет</v>
      </c>
      <c r="BQ43" s="342" t="e">
        <f t="shared" si="32"/>
        <v>#DIV/0!</v>
      </c>
      <c r="BR43" s="940">
        <f>Кадры!$L43</f>
        <v>0</v>
      </c>
      <c r="BS43" s="1544">
        <f>Кадры!$J43</f>
        <v>0</v>
      </c>
      <c r="BT43" s="343">
        <f t="shared" si="33"/>
        <v>0</v>
      </c>
      <c r="BU43" s="817">
        <f t="shared" si="34"/>
        <v>100</v>
      </c>
      <c r="BV43" s="923">
        <f>Кадры!$D43</f>
        <v>0</v>
      </c>
      <c r="BW43" s="919">
        <f>Кадры!$F43</f>
        <v>0</v>
      </c>
      <c r="BX43" s="817" t="e">
        <f t="shared" si="35"/>
        <v>#DIV/0!</v>
      </c>
      <c r="BY43" s="940">
        <f>Кадры!$P43</f>
        <v>0</v>
      </c>
      <c r="BZ43" s="941">
        <f>Кадры!$L43</f>
        <v>0</v>
      </c>
      <c r="CA43" s="342" t="str">
        <f t="shared" si="36"/>
        <v>нет</v>
      </c>
      <c r="CC43" s="987" t="s">
        <v>332</v>
      </c>
      <c r="CD43" s="268"/>
      <c r="CE43" s="961"/>
      <c r="CG43" s="335" t="e">
        <f t="array" ref="CG43">SUM(IF($F43:$CA43=нет,0,IF($F43:$CA43&gt;=$F$16:$CA$16,$F$16:$CA$16,IF($F43:$CA43&lt;$F$17:$CA$17,0,$F43:$CA43)))*$F$11:$CA$11*($F$104:$CA$104=CG$4)/$F$16:$CA$16*($F$106:$CA$115*($B$106:$B$115=$B43)*($A$106:$A$115=$A$104)))</f>
        <v>#DIV/0!</v>
      </c>
      <c r="CH43" s="335" t="e">
        <f t="array" ref="CH43">SUM(IF($F43:$CA43=нет,0,IF($F43:$CA43&gt;=$F$16:$CA$16,$F$16:$CA$16,IF($F43:$CA43&lt;$F$17:$CA$17,0,$F43:$CA43)))*$F$11:$CA$11*($F$104:$CA$104=CH$4)/$F$16:$CA$16*($F$106:$CA$115*($B$106:$B$115=$B43)*($A$106:$A$115=$A$104)))</f>
        <v>#DIV/0!</v>
      </c>
      <c r="CI43" s="335" t="e">
        <f t="array" ref="CI43">SUM(IF($F43:$CA43=нет,0,IF($F43:$CA43&gt;=$F$16:$CA$16,$F$16:$CA$16,IF($F43:$CA43&lt;$F$17:$CA$17,0,$F43:$CA43)))*$F$11:$CA$11*($F$105:$CA$105=CI$4)/$F$16:$CA$16*($F$106:$CA$115*($B$106:$B$115=$B43)*($A$106:$A$115=$A$104)))</f>
        <v>#DIV/0!</v>
      </c>
      <c r="CJ43" s="1072" t="e">
        <f>'НУ(ВИД3)'!D44</f>
        <v>#DIV/0!</v>
      </c>
      <c r="CK43" s="335" t="e">
        <f t="array" ref="CK43">SUM(IF($F43:$CA43=нет,0,IF($F43:$CA43&gt;=$F$16:$CA$16,$F$16:$CA$16,IF($F43:$CA43&lt;$F$17:$CA$17,0,$F43:$CA43)))*$F$11:$CA$11*($F$104:$CA$104=CK$4)/$F$16:$CA$16*($F$106:$CA$115*($B$106:$B$115=$B43)*($A$106:$A$115=$A$104)))</f>
        <v>#DIV/0!</v>
      </c>
      <c r="CL43" s="335" t="e">
        <f t="array" ref="CL43">SUM(IF($F43:$CA43=нет,0,IF($F43:$CA43&gt;=$F$16:$CA$16,$F$16:$CA$16,IF($F43:$CA43&lt;$F$17:$CA$17,0,$F43:$CA43)))*$F$11:$CA$11*($F$104:$CA$104=CL$4)/$F$16:$CA$16*($F$106:$CA$115*($B$106:$B$115=$B43)*($A$106:$A$115=$A$104)))</f>
        <v>#DIV/0!</v>
      </c>
      <c r="CM43" s="335" t="e">
        <f t="array" ref="CM43">SUM(IF($F43:$CA43=нет,0,IF($F43:$CA43&gt;=$F$16:$CA$16,$F$16:$CA$16,IF($F43:$CA43&lt;$F$17:$CA$17,0,$F43:$CA43)))*$F$11:$CA$11*($F$104:$CA$104=CM$4)/$F$16:$CA$16*($F$106:$CA$115*($B$106:$B$115=$B43)*($A$106:$A$115=$A$104)))</f>
        <v>#DIV/0!</v>
      </c>
      <c r="CO43" s="1000" t="e">
        <f t="array" ref="CO43">SUM(IF($F43:$CA43=нет,0,100)*$F$11:$CA$11*($F$104:$CA$104=CO$4)/100*($F$106:$CA$115*($B$106:$B$115=$B43)*($A$106:$A$115=$A$104)))</f>
        <v>#DIV/0!</v>
      </c>
      <c r="CP43" s="1000" t="e">
        <f t="array" ref="CP43">SUM(IF($F43:$CA43=нет,0,100)*$F$11:$CA$11*($F$104:$CA$104=CP$4)/100*($F$106:$CA$115*($B$106:$B$115=$B43)*($A$106:$A$115=$A$104)))</f>
        <v>#DIV/0!</v>
      </c>
      <c r="CQ43" s="1000" t="e">
        <f t="array" ref="CQ43">SUM(IF($F43:$CA43=нет,0,100)*$F$11:$CA$11*($F$105:$CA$105=CQ$4)/100*($F$106:$CA$115*($B$106:$B$115=$B43)*($A$106:$A$115=$A$104)))</f>
        <v>#DIV/0!</v>
      </c>
      <c r="CR43" s="1057">
        <f>'НУ(ВИД3)'!E44</f>
        <v>21</v>
      </c>
      <c r="CS43" s="1000" t="e">
        <f t="array" ref="CS43">SUM(IF($F43:$CA43=нет,0,100)*$F$11:$CA$11*($F$104:$CA$104=CS$4)/100*($F$106:$CA$115*($B$106:$B$115=$B43)*($A$106:$A$115=$A$104)))</f>
        <v>#DIV/0!</v>
      </c>
      <c r="CT43" s="1000" t="e">
        <f t="array" ref="CT43">SUM(IF($F43:$CA43=нет,0,100)*$F$11:$CA$11*($F$104:$CA$104=CT$4)/100*($F$106:$CA$115*($B$106:$B$115=$B43)*($A$106:$A$115=$A$104)))</f>
        <v>#DIV/0!</v>
      </c>
      <c r="CU43" s="1000" t="e">
        <f t="array" ref="CU43">SUM(IF($F43:$CA43=нет,0,100)*$F$11:$CA$11*($F$104:$CA$104=CU$4)/100*($F$106:$CA$115*($B$106:$B$115=$B43)*($A$106:$A$115=$A$104)))</f>
        <v>#DIV/0!</v>
      </c>
      <c r="CW43" s="333" t="e">
        <f>SUM(CG43:CH43,CJ43:CM43,'Реестр ППС'!#REF!,' "Вуз зож"'!S43)</f>
        <v>#REF!</v>
      </c>
      <c r="CX43" s="333" t="e">
        <f>SUM(CO43:CP43,CR43:CU43,'Реестр ППС'!#REF!,' "Вуз зож"'!T43)</f>
        <v>#REF!</v>
      </c>
      <c r="CY43" s="332" t="e">
        <f t="shared" si="10"/>
        <v>#REF!</v>
      </c>
      <c r="DA43" s="336" t="e">
        <f>SUM(CI43:CK43,CM43,'Реестр ППС'!#REF!,' "Вуз зож"'!S43)</f>
        <v>#REF!</v>
      </c>
      <c r="DB43" s="336" t="e">
        <f>SUM(CQ43:CS43,CU43,'Реестр ППС'!#REF!,' "Вуз зож"'!T43)</f>
        <v>#REF!</v>
      </c>
      <c r="DC43" s="332" t="e">
        <f t="shared" si="37"/>
        <v>#REF!</v>
      </c>
      <c r="DD43" s="961"/>
      <c r="DE43" s="337" t="e">
        <f t="shared" si="11"/>
        <v>#DIV/0!</v>
      </c>
      <c r="DF43" s="337" t="e">
        <f t="shared" si="12"/>
        <v>#DIV/0!</v>
      </c>
      <c r="DG43" s="337" t="e">
        <f t="shared" si="13"/>
        <v>#DIV/0!</v>
      </c>
      <c r="DH43" s="337" t="e">
        <f t="shared" si="14"/>
        <v>#DIV/0!</v>
      </c>
      <c r="DI43" s="337" t="e">
        <f t="shared" si="15"/>
        <v>#DIV/0!</v>
      </c>
      <c r="DJ43" s="337" t="e">
        <f t="shared" si="16"/>
        <v>#DIV/0!</v>
      </c>
      <c r="DK43" s="337" t="e">
        <f t="shared" si="17"/>
        <v>#DIV/0!</v>
      </c>
      <c r="DL43" s="334" t="str">
        <f t="shared" si="4"/>
        <v>Пропедевтики детских болезней</v>
      </c>
      <c r="DM43" s="215" t="str">
        <f t="shared" si="18"/>
        <v>ПЕДИАТРИИ</v>
      </c>
      <c r="DN43" s="1505" t="e">
        <f t="shared" si="38"/>
        <v>#REF!</v>
      </c>
      <c r="DO43" s="338"/>
      <c r="DP43" s="338"/>
      <c r="DQ43" s="338"/>
      <c r="DR43" s="318"/>
      <c r="DS43" s="318"/>
      <c r="DT43" s="318"/>
      <c r="DU43" s="318"/>
      <c r="DV43" s="318"/>
      <c r="DW43" s="318"/>
      <c r="DX43" s="318"/>
    </row>
    <row r="44" spans="1:128" s="215" customFormat="1" ht="15.75" thickBot="1" x14ac:dyDescent="0.25">
      <c r="A44" s="550" t="s">
        <v>99</v>
      </c>
      <c r="B44" s="340" t="s">
        <v>7</v>
      </c>
      <c r="C44" s="482">
        <f>Кадры!C44</f>
        <v>0</v>
      </c>
      <c r="D44" s="987" t="str">
        <f t="shared" si="19"/>
        <v>ПЕДИАТРИИ</v>
      </c>
      <c r="E44" s="341" t="s">
        <v>16</v>
      </c>
      <c r="F44" s="341" t="s">
        <v>31</v>
      </c>
      <c r="G44" s="909"/>
      <c r="H44" s="817">
        <f t="shared" si="5"/>
        <v>100</v>
      </c>
      <c r="I44" s="1748"/>
      <c r="J44" s="860">
        <f t="shared" si="6"/>
        <v>100</v>
      </c>
      <c r="K44" s="920">
        <f>МероприятияВуза!$AR44+МероприятияВуза!$AQ44</f>
        <v>0</v>
      </c>
      <c r="L44" s="919">
        <f>МероприятияВуза!$G44+МероприятияВуза!$H44</f>
        <v>0</v>
      </c>
      <c r="M44" s="925" t="str">
        <f t="shared" si="20"/>
        <v>нет</v>
      </c>
      <c r="N44" s="923">
        <f>МероприятияВуза!$AS44</f>
        <v>0</v>
      </c>
      <c r="O44" s="919">
        <f>МероприятияВуза!$I44+МероприятияВуза!$J44</f>
        <v>0</v>
      </c>
      <c r="P44" s="925" t="str">
        <f t="shared" si="21"/>
        <v>нет</v>
      </c>
      <c r="Q44" s="1844"/>
      <c r="R44" s="817">
        <f t="shared" si="22"/>
        <v>100</v>
      </c>
      <c r="S44" s="1847"/>
      <c r="T44" s="1848"/>
      <c r="U44" s="844" t="str">
        <f t="shared" si="23"/>
        <v>нет</v>
      </c>
      <c r="V44" s="904"/>
      <c r="W44" s="909"/>
      <c r="X44" s="844" t="str">
        <f t="shared" si="7"/>
        <v>нет</v>
      </c>
      <c r="Y44" s="1857"/>
      <c r="Z44" s="1858"/>
      <c r="AA44" s="844" t="str">
        <f t="shared" si="8"/>
        <v>нет</v>
      </c>
      <c r="AB44" s="1748"/>
      <c r="AC44" s="909"/>
      <c r="AD44" s="912" t="str">
        <f t="shared" si="24"/>
        <v>нет</v>
      </c>
      <c r="AE44" s="947"/>
      <c r="AF44" s="949"/>
      <c r="AG44" s="844" t="str">
        <f t="shared" si="9"/>
        <v>нет</v>
      </c>
      <c r="AH44" s="951"/>
      <c r="AI44" s="949"/>
      <c r="AJ44" s="844" t="str">
        <f t="shared" si="25"/>
        <v>нет</v>
      </c>
      <c r="AK44" s="935">
        <f>ПрофРабота!$Q44</f>
        <v>0</v>
      </c>
      <c r="AL44" s="485">
        <f>ПрофРабота!$R44</f>
        <v>0</v>
      </c>
      <c r="AM44" s="485">
        <f>ПрофРабота!$S44</f>
        <v>0</v>
      </c>
      <c r="AN44" s="817">
        <f>ПрофРабота!$C44</f>
        <v>0</v>
      </c>
      <c r="AO44" s="923">
        <f>МероприятияВуза!$AT44</f>
        <v>0</v>
      </c>
      <c r="AP44" s="919">
        <f>МероприятияВуза!$K44</f>
        <v>0</v>
      </c>
      <c r="AQ44" s="817" t="str">
        <f t="shared" si="26"/>
        <v>нет</v>
      </c>
      <c r="AR44" s="938">
        <f>'ДПО(Финансы)'!$R44</f>
        <v>6450</v>
      </c>
      <c r="AS44" s="939">
        <f>'ДПО(Финансы)'!$D44</f>
        <v>50000</v>
      </c>
      <c r="AT44" s="510" t="e">
        <f t="shared" si="27"/>
        <v>#DIV/0!</v>
      </c>
      <c r="AU44" s="1519">
        <f t="shared" si="28"/>
        <v>12.9</v>
      </c>
      <c r="AV44" s="938">
        <f>'ДПО(Финансы)'!$R44</f>
        <v>6450</v>
      </c>
      <c r="AW44" s="939">
        <f>'ИДО(Финансы)'!$R44</f>
        <v>0</v>
      </c>
      <c r="AX44" s="939">
        <f>'ДПО(Финансы)'!$S44</f>
        <v>0</v>
      </c>
      <c r="AY44" s="939">
        <f>'ИДО(Финансы)'!$S44</f>
        <v>0</v>
      </c>
      <c r="AZ44" s="839" t="e">
        <f t="shared" si="0"/>
        <v>#DIV/0!</v>
      </c>
      <c r="BA44" s="1520" t="str">
        <f t="array" ref="BA44">IF(($E44="да"),IF($AX44=0,"нет",$AV44/$AX44*100-100),"нет")</f>
        <v>нет</v>
      </c>
      <c r="BB44" s="1521" t="str">
        <f t="array" ref="BB44">IF(($E44="да"),IF($AX44=0,"нет",$AV44/$AX44*100),"нет")</f>
        <v>нет</v>
      </c>
      <c r="BC44" s="1522">
        <f t="shared" si="1"/>
        <v>12.9</v>
      </c>
      <c r="BD44" s="1522" t="e">
        <f t="array" ref="BD44">IF(($E44="да"),IF($AZ44&gt;$AZ$17,$AZ44/$AZ$16*BD$16,нет),нет)</f>
        <v>#DIV/0!</v>
      </c>
      <c r="BE44" s="938">
        <f>'ИДО(Финансы)'!$R44</f>
        <v>0</v>
      </c>
      <c r="BF44" s="939">
        <f>'ИДО(Финансы)'!D44</f>
        <v>0</v>
      </c>
      <c r="BG44" s="510" t="str">
        <f t="shared" si="29"/>
        <v>нет</v>
      </c>
      <c r="BH44" s="1519" t="str">
        <f t="shared" si="30"/>
        <v>нет</v>
      </c>
      <c r="BI44" s="1523">
        <f t="array" ref="BI44">IF(($E44="да")+($F44="да"),IF((BF44+AS44)=0,"нет",(AR44+BE44)/(BF44+AS44)*100),"нет")</f>
        <v>12.9</v>
      </c>
      <c r="BJ44" s="829">
        <f>Кадры!$I44</f>
        <v>0</v>
      </c>
      <c r="BK44" s="940">
        <f>Кадры!$O44</f>
        <v>0</v>
      </c>
      <c r="BL44" s="941">
        <f>Кадры!$K44</f>
        <v>0</v>
      </c>
      <c r="BM44" s="821" t="str">
        <f t="array" ref="BM44">IF(BL44=0,"нет",BK44/BL44*100)</f>
        <v>нет</v>
      </c>
      <c r="BN44" s="923">
        <f>Кадры!E44</f>
        <v>0</v>
      </c>
      <c r="BO44" s="941">
        <f>Кадры!$K44</f>
        <v>0</v>
      </c>
      <c r="BP44" s="343" t="str">
        <f t="shared" si="31"/>
        <v>нет</v>
      </c>
      <c r="BQ44" s="342" t="e">
        <f t="shared" si="32"/>
        <v>#DIV/0!</v>
      </c>
      <c r="BR44" s="940">
        <f>Кадры!$L44</f>
        <v>0</v>
      </c>
      <c r="BS44" s="1544">
        <f>Кадры!$J44</f>
        <v>0</v>
      </c>
      <c r="BT44" s="343">
        <f t="shared" si="33"/>
        <v>0</v>
      </c>
      <c r="BU44" s="817">
        <f t="shared" si="34"/>
        <v>100</v>
      </c>
      <c r="BV44" s="923">
        <f>Кадры!$D44</f>
        <v>0</v>
      </c>
      <c r="BW44" s="919">
        <f>Кадры!$F44</f>
        <v>0</v>
      </c>
      <c r="BX44" s="817" t="e">
        <f t="shared" si="35"/>
        <v>#DIV/0!</v>
      </c>
      <c r="BY44" s="940">
        <f>Кадры!$P44</f>
        <v>0</v>
      </c>
      <c r="BZ44" s="941">
        <f>Кадры!$L44</f>
        <v>0</v>
      </c>
      <c r="CA44" s="342" t="str">
        <f t="shared" si="36"/>
        <v>нет</v>
      </c>
      <c r="CC44" s="987" t="s">
        <v>332</v>
      </c>
      <c r="CD44" s="268"/>
      <c r="CE44" s="961"/>
      <c r="CG44" s="335" t="e">
        <f t="array" ref="CG44">SUM(IF($F44:$CA44=нет,0,IF($F44:$CA44&gt;=$F$16:$CA$16,$F$16:$CA$16,IF($F44:$CA44&lt;$F$17:$CA$17,0,$F44:$CA44)))*$F$11:$CA$11*($F$104:$CA$104=CG$4)/$F$16:$CA$16*($F$106:$CA$115*($B$106:$B$115=$B44)*($A$106:$A$115=$A$104)))</f>
        <v>#DIV/0!</v>
      </c>
      <c r="CH44" s="335" t="e">
        <f t="array" ref="CH44">SUM(IF($F44:$CA44=нет,0,IF($F44:$CA44&gt;=$F$16:$CA$16,$F$16:$CA$16,IF($F44:$CA44&lt;$F$17:$CA$17,0,$F44:$CA44)))*$F$11:$CA$11*($F$104:$CA$104=CH$4)/$F$16:$CA$16*($F$106:$CA$115*($B$106:$B$115=$B44)*($A$106:$A$115=$A$104)))</f>
        <v>#DIV/0!</v>
      </c>
      <c r="CI44" s="335" t="e">
        <f t="array" ref="CI44">SUM(IF($F44:$CA44=нет,0,IF($F44:$CA44&gt;=$F$16:$CA$16,$F$16:$CA$16,IF($F44:$CA44&lt;$F$17:$CA$17,0,$F44:$CA44)))*$F$11:$CA$11*($F$105:$CA$105=CI$4)/$F$16:$CA$16*($F$106:$CA$115*($B$106:$B$115=$B44)*($A$106:$A$115=$A$104)))</f>
        <v>#DIV/0!</v>
      </c>
      <c r="CJ44" s="1072" t="e">
        <f>'НУ(ВИД3)'!D45</f>
        <v>#DIV/0!</v>
      </c>
      <c r="CK44" s="335" t="e">
        <f t="array" ref="CK44">SUM(IF($F44:$CA44=нет,0,IF($F44:$CA44&gt;=$F$16:$CA$16,$F$16:$CA$16,IF($F44:$CA44&lt;$F$17:$CA$17,0,$F44:$CA44)))*$F$11:$CA$11*($F$104:$CA$104=CK$4)/$F$16:$CA$16*($F$106:$CA$115*($B$106:$B$115=$B44)*($A$106:$A$115=$A$104)))</f>
        <v>#DIV/0!</v>
      </c>
      <c r="CL44" s="335" t="e">
        <f t="array" ref="CL44">SUM(IF($F44:$CA44=нет,0,IF($F44:$CA44&gt;=$F$16:$CA$16,$F$16:$CA$16,IF($F44:$CA44&lt;$F$17:$CA$17,0,$F44:$CA44)))*$F$11:$CA$11*($F$104:$CA$104=CL$4)/$F$16:$CA$16*($F$106:$CA$115*($B$106:$B$115=$B44)*($A$106:$A$115=$A$104)))</f>
        <v>#DIV/0!</v>
      </c>
      <c r="CM44" s="335" t="e">
        <f t="array" ref="CM44">SUM(IF($F44:$CA44=нет,0,IF($F44:$CA44&gt;=$F$16:$CA$16,$F$16:$CA$16,IF($F44:$CA44&lt;$F$17:$CA$17,0,$F44:$CA44)))*$F$11:$CA$11*($F$104:$CA$104=CM$4)/$F$16:$CA$16*($F$106:$CA$115*($B$106:$B$115=$B44)*($A$106:$A$115=$A$104)))</f>
        <v>#DIV/0!</v>
      </c>
      <c r="CO44" s="1000" t="e">
        <f t="array" ref="CO44">SUM(IF($F44:$CA44=нет,0,100)*$F$11:$CA$11*($F$104:$CA$104=CO$4)/100*($F$106:$CA$115*($B$106:$B$115=$B44)*($A$106:$A$115=$A$104)))</f>
        <v>#DIV/0!</v>
      </c>
      <c r="CP44" s="1000" t="e">
        <f t="array" ref="CP44">SUM(IF($F44:$CA44=нет,0,100)*$F$11:$CA$11*($F$104:$CA$104=CP$4)/100*($F$106:$CA$115*($B$106:$B$115=$B44)*($A$106:$A$115=$A$104)))</f>
        <v>#DIV/0!</v>
      </c>
      <c r="CQ44" s="1000" t="e">
        <f t="array" ref="CQ44">SUM(IF($F44:$CA44=нет,0,100)*$F$11:$CA$11*($F$105:$CA$105=CQ$4)/100*($F$106:$CA$115*($B$106:$B$115=$B44)*($A$106:$A$115=$A$104)))</f>
        <v>#DIV/0!</v>
      </c>
      <c r="CR44" s="1057">
        <f>'НУ(ВИД3)'!E45</f>
        <v>21</v>
      </c>
      <c r="CS44" s="1000" t="e">
        <f t="array" ref="CS44">SUM(IF($F44:$CA44=нет,0,100)*$F$11:$CA$11*($F$104:$CA$104=CS$4)/100*($F$106:$CA$115*($B$106:$B$115=$B44)*($A$106:$A$115=$A$104)))</f>
        <v>#DIV/0!</v>
      </c>
      <c r="CT44" s="1000" t="e">
        <f t="array" ref="CT44">SUM(IF($F44:$CA44=нет,0,100)*$F$11:$CA$11*($F$104:$CA$104=CT$4)/100*($F$106:$CA$115*($B$106:$B$115=$B44)*($A$106:$A$115=$A$104)))</f>
        <v>#DIV/0!</v>
      </c>
      <c r="CU44" s="1000" t="e">
        <f t="array" ref="CU44">SUM(IF($F44:$CA44=нет,0,100)*$F$11:$CA$11*($F$104:$CA$104=CU$4)/100*($F$106:$CA$115*($B$106:$B$115=$B44)*($A$106:$A$115=$A$104)))</f>
        <v>#DIV/0!</v>
      </c>
      <c r="CW44" s="333" t="e">
        <f>SUM(CG44:CH44,CJ44:CM44,'Реестр ППС'!#REF!,' "Вуз зож"'!S44)</f>
        <v>#REF!</v>
      </c>
      <c r="CX44" s="333" t="e">
        <f>SUM(CO44:CP44,CR44:CU44,'Реестр ППС'!#REF!,' "Вуз зож"'!T44)</f>
        <v>#REF!</v>
      </c>
      <c r="CY44" s="332" t="e">
        <f t="shared" si="10"/>
        <v>#REF!</v>
      </c>
      <c r="DA44" s="336" t="e">
        <f>SUM(CI44:CK44,CM44,'Реестр ППС'!#REF!,' "Вуз зож"'!S44)</f>
        <v>#REF!</v>
      </c>
      <c r="DB44" s="336" t="e">
        <f>SUM(CQ44:CS44,CU44,'Реестр ППС'!#REF!,' "Вуз зож"'!T44)</f>
        <v>#REF!</v>
      </c>
      <c r="DC44" s="332" t="e">
        <f t="shared" si="37"/>
        <v>#REF!</v>
      </c>
      <c r="DD44" s="961"/>
      <c r="DE44" s="337" t="e">
        <f>IF(CO44=0,0,TEXT(CG44/CO44*100,"0,0")&amp;"%
="&amp;TEXT(CG44,"0,0")&amp;"/"&amp;TEXT(CO44,"0,0"))</f>
        <v>#DIV/0!</v>
      </c>
      <c r="DF44" s="337" t="e">
        <f t="shared" si="12"/>
        <v>#DIV/0!</v>
      </c>
      <c r="DG44" s="337" t="e">
        <f t="shared" si="13"/>
        <v>#DIV/0!</v>
      </c>
      <c r="DH44" s="337" t="e">
        <f t="shared" si="14"/>
        <v>#DIV/0!</v>
      </c>
      <c r="DI44" s="337" t="e">
        <f t="shared" si="15"/>
        <v>#DIV/0!</v>
      </c>
      <c r="DJ44" s="337" t="e">
        <f t="shared" si="16"/>
        <v>#DIV/0!</v>
      </c>
      <c r="DK44" s="337" t="e">
        <f t="shared" si="17"/>
        <v>#DIV/0!</v>
      </c>
      <c r="DL44" s="334" t="str">
        <f t="shared" si="4"/>
        <v>Судебной медицины имени профессора В.Н. Крюкова и патологической анатомии с курсом ДПО</v>
      </c>
      <c r="DM44" s="215" t="str">
        <f t="shared" si="18"/>
        <v>ПЕДИАТРИИ</v>
      </c>
      <c r="DN44" s="1505" t="e">
        <f t="shared" si="38"/>
        <v>#REF!</v>
      </c>
      <c r="DO44" s="338"/>
      <c r="DP44" s="338"/>
      <c r="DQ44" s="338"/>
      <c r="DR44" s="318"/>
      <c r="DS44" s="318"/>
      <c r="DT44" s="318"/>
      <c r="DU44" s="318"/>
      <c r="DV44" s="318"/>
      <c r="DW44" s="318"/>
      <c r="DX44" s="318"/>
    </row>
    <row r="45" spans="1:128" s="215" customFormat="1" ht="15.75" thickBot="1" x14ac:dyDescent="0.25">
      <c r="A45" s="550" t="s">
        <v>406</v>
      </c>
      <c r="B45" s="340" t="s">
        <v>7</v>
      </c>
      <c r="C45" s="482">
        <f>Кадры!C45</f>
        <v>0</v>
      </c>
      <c r="D45" s="987" t="str">
        <f>CC45</f>
        <v>ПЕДИАТРИИ</v>
      </c>
      <c r="E45" s="341" t="s">
        <v>16</v>
      </c>
      <c r="F45" s="341" t="s">
        <v>31</v>
      </c>
      <c r="G45" s="909"/>
      <c r="H45" s="817">
        <f t="shared" si="5"/>
        <v>100</v>
      </c>
      <c r="I45" s="1748"/>
      <c r="J45" s="860">
        <f t="shared" si="6"/>
        <v>100</v>
      </c>
      <c r="K45" s="920">
        <f>МероприятияВуза!$AR45+МероприятияВуза!$AQ45</f>
        <v>0</v>
      </c>
      <c r="L45" s="919">
        <f>МероприятияВуза!$G45+МероприятияВуза!$H45</f>
        <v>0</v>
      </c>
      <c r="M45" s="925" t="str">
        <f t="shared" si="20"/>
        <v>нет</v>
      </c>
      <c r="N45" s="923">
        <f>МероприятияВуза!$AS45</f>
        <v>0</v>
      </c>
      <c r="O45" s="919">
        <f>МероприятияВуза!$I45+МероприятияВуза!$J45</f>
        <v>0</v>
      </c>
      <c r="P45" s="925" t="str">
        <f t="shared" si="21"/>
        <v>нет</v>
      </c>
      <c r="Q45" s="1844"/>
      <c r="R45" s="817">
        <f t="shared" si="22"/>
        <v>100</v>
      </c>
      <c r="S45" s="1847"/>
      <c r="T45" s="1848"/>
      <c r="U45" s="844" t="str">
        <f t="shared" si="23"/>
        <v>нет</v>
      </c>
      <c r="V45" s="904"/>
      <c r="W45" s="909"/>
      <c r="X45" s="844" t="str">
        <f t="shared" si="7"/>
        <v>нет</v>
      </c>
      <c r="Y45" s="1857"/>
      <c r="Z45" s="1858"/>
      <c r="AA45" s="844" t="str">
        <f t="shared" si="8"/>
        <v>нет</v>
      </c>
      <c r="AB45" s="1748"/>
      <c r="AC45" s="909"/>
      <c r="AD45" s="912" t="str">
        <f t="shared" si="24"/>
        <v>нет</v>
      </c>
      <c r="AE45" s="947"/>
      <c r="AF45" s="949"/>
      <c r="AG45" s="844" t="str">
        <f t="shared" si="9"/>
        <v>нет</v>
      </c>
      <c r="AH45" s="951"/>
      <c r="AI45" s="949"/>
      <c r="AJ45" s="844" t="str">
        <f t="shared" si="25"/>
        <v>нет</v>
      </c>
      <c r="AK45" s="935">
        <f>ПрофРабота!$Q45</f>
        <v>0</v>
      </c>
      <c r="AL45" s="485">
        <f>ПрофРабота!$R45</f>
        <v>0</v>
      </c>
      <c r="AM45" s="485">
        <f>ПрофРабота!$S45</f>
        <v>0</v>
      </c>
      <c r="AN45" s="817">
        <f>ПрофРабота!$C45</f>
        <v>0</v>
      </c>
      <c r="AO45" s="923">
        <f>МероприятияВуза!$AT45</f>
        <v>0</v>
      </c>
      <c r="AP45" s="919">
        <f>МероприятияВуза!$K45</f>
        <v>0</v>
      </c>
      <c r="AQ45" s="817" t="str">
        <f t="shared" si="26"/>
        <v>нет</v>
      </c>
      <c r="AR45" s="938">
        <f>'ДПО(Финансы)'!$R45</f>
        <v>0</v>
      </c>
      <c r="AS45" s="939">
        <f>'ДПО(Финансы)'!$D45</f>
        <v>0</v>
      </c>
      <c r="AT45" s="510">
        <f t="shared" si="27"/>
        <v>0</v>
      </c>
      <c r="AU45" s="1519" t="str">
        <f t="shared" si="28"/>
        <v>нет</v>
      </c>
      <c r="AV45" s="938">
        <f>'ДПО(Финансы)'!$R45</f>
        <v>0</v>
      </c>
      <c r="AW45" s="939">
        <f>'ИДО(Финансы)'!$R45</f>
        <v>0</v>
      </c>
      <c r="AX45" s="939">
        <f>'ДПО(Финансы)'!$S45</f>
        <v>0</v>
      </c>
      <c r="AY45" s="939">
        <f>'ИДО(Финансы)'!$S45</f>
        <v>0</v>
      </c>
      <c r="AZ45" s="839" t="e">
        <f t="shared" si="0"/>
        <v>#DIV/0!</v>
      </c>
      <c r="BA45" s="1520" t="str">
        <f t="array" ref="BA45">IF(($E45="да"),IF($AX45=0,"нет",$AV45/$AX45*100-100),"нет")</f>
        <v>нет</v>
      </c>
      <c r="BB45" s="1521" t="str">
        <f t="array" ref="BB45">IF(($E45="да"),IF($AX45=0,"нет",$AV45/$AX45*100),"нет")</f>
        <v>нет</v>
      </c>
      <c r="BC45" s="1522" t="str">
        <f t="shared" si="1"/>
        <v>нет</v>
      </c>
      <c r="BD45" s="1522" t="e">
        <f t="array" ref="BD45">IF(($E45="да"),IF($AZ45&gt;$AZ$17,$AZ45/$AZ$16*BD$16,нет),нет)</f>
        <v>#DIV/0!</v>
      </c>
      <c r="BE45" s="938">
        <f>'ИДО(Финансы)'!$R45</f>
        <v>0</v>
      </c>
      <c r="BF45" s="939">
        <f>'ИДО(Финансы)'!D45</f>
        <v>0</v>
      </c>
      <c r="BG45" s="510" t="str">
        <f t="shared" si="29"/>
        <v>нет</v>
      </c>
      <c r="BH45" s="1519" t="str">
        <f t="shared" si="30"/>
        <v>нет</v>
      </c>
      <c r="BI45" s="1523" t="str">
        <f t="array" ref="BI45">IF(($E45="да")+($F45="да"),IF((BF45+AS45)=0,"нет",(AR45+BE45)/(BF45+AS45)*100),"нет")</f>
        <v>нет</v>
      </c>
      <c r="BJ45" s="829">
        <f>Кадры!$I45</f>
        <v>0</v>
      </c>
      <c r="BK45" s="940">
        <f>Кадры!$O45</f>
        <v>0</v>
      </c>
      <c r="BL45" s="941">
        <f>Кадры!$K45</f>
        <v>0</v>
      </c>
      <c r="BM45" s="821" t="str">
        <f t="array" ref="BM45">IF(BL45=0,"нет",BK45/BL45*100)</f>
        <v>нет</v>
      </c>
      <c r="BN45" s="923">
        <f>Кадры!E45</f>
        <v>0</v>
      </c>
      <c r="BO45" s="941">
        <f>Кадры!$K45</f>
        <v>0</v>
      </c>
      <c r="BP45" s="343" t="str">
        <f t="shared" si="31"/>
        <v>нет</v>
      </c>
      <c r="BQ45" s="342" t="e">
        <f t="shared" si="32"/>
        <v>#DIV/0!</v>
      </c>
      <c r="BR45" s="940">
        <f>Кадры!$L45</f>
        <v>0</v>
      </c>
      <c r="BS45" s="1544">
        <f>Кадры!$J45</f>
        <v>0</v>
      </c>
      <c r="BT45" s="343">
        <f t="shared" si="33"/>
        <v>0</v>
      </c>
      <c r="BU45" s="817">
        <f t="shared" si="34"/>
        <v>100</v>
      </c>
      <c r="BV45" s="923">
        <f>Кадры!$D45</f>
        <v>0</v>
      </c>
      <c r="BW45" s="919">
        <f>Кадры!$F45</f>
        <v>0</v>
      </c>
      <c r="BX45" s="817" t="e">
        <f t="shared" si="35"/>
        <v>#DIV/0!</v>
      </c>
      <c r="BY45" s="940">
        <f>Кадры!$P45</f>
        <v>0</v>
      </c>
      <c r="BZ45" s="941">
        <f>Кадры!$L45</f>
        <v>0</v>
      </c>
      <c r="CA45" s="342" t="str">
        <f t="shared" si="36"/>
        <v>нет</v>
      </c>
      <c r="CC45" s="987" t="s">
        <v>332</v>
      </c>
      <c r="CD45" s="268"/>
      <c r="CE45" s="961"/>
      <c r="CG45" s="335" t="e">
        <f t="array" ref="CG45">SUM(IF($F45:$CA45=нет,0,IF($F45:$CA45&gt;=$F$16:$CA$16,$F$16:$CA$16,IF($F45:$CA45&lt;$F$17:$CA$17,0,$F45:$CA45)))*$F$11:$CA$11*($F$104:$CA$104=CG$4)/$F$16:$CA$16*($F$106:$CA$115*($B$106:$B$115=$B45)*($A$106:$A$115=$A$104)))</f>
        <v>#DIV/0!</v>
      </c>
      <c r="CH45" s="335" t="e">
        <f t="array" ref="CH45">SUM(IF($F45:$CA45=нет,0,IF($F45:$CA45&gt;=$F$16:$CA$16,$F$16:$CA$16,IF($F45:$CA45&lt;$F$17:$CA$17,0,$F45:$CA45)))*$F$11:$CA$11*($F$104:$CA$104=CH$4)/$F$16:$CA$16*($F$106:$CA$115*($B$106:$B$115=$B45)*($A$106:$A$115=$A$104)))</f>
        <v>#DIV/0!</v>
      </c>
      <c r="CI45" s="335" t="e">
        <f t="array" ref="CI45">SUM(IF($F45:$CA45=нет,0,IF($F45:$CA45&gt;=$F$16:$CA$16,$F$16:$CA$16,IF($F45:$CA45&lt;$F$17:$CA$17,0,$F45:$CA45)))*$F$11:$CA$11*($F$105:$CA$105=CI$4)/$F$16:$CA$16*($F$106:$CA$115*($B$106:$B$115=$B45)*($A$106:$A$115=$A$104)))</f>
        <v>#DIV/0!</v>
      </c>
      <c r="CJ45" s="1072" t="e">
        <f>'НУ(ВИД3)'!D46</f>
        <v>#DIV/0!</v>
      </c>
      <c r="CK45" s="335" t="e">
        <f t="array" ref="CK45">SUM(IF($F45:$CA45=нет,0,IF($F45:$CA45&gt;=$F$16:$CA$16,$F$16:$CA$16,IF($F45:$CA45&lt;$F$17:$CA$17,0,$F45:$CA45)))*$F$11:$CA$11*($F$104:$CA$104=CK$4)/$F$16:$CA$16*($F$106:$CA$115*($B$106:$B$115=$B45)*($A$106:$A$115=$A$104)))</f>
        <v>#DIV/0!</v>
      </c>
      <c r="CL45" s="335" t="e">
        <f t="array" ref="CL45">SUM(IF($F45:$CA45=нет,0,IF($F45:$CA45&gt;=$F$16:$CA$16,$F$16:$CA$16,IF($F45:$CA45&lt;$F$17:$CA$17,0,$F45:$CA45)))*$F$11:$CA$11*($F$104:$CA$104=CL$4)/$F$16:$CA$16*($F$106:$CA$115*($B$106:$B$115=$B45)*($A$106:$A$115=$A$104)))</f>
        <v>#DIV/0!</v>
      </c>
      <c r="CM45" s="335" t="e">
        <f t="array" ref="CM45">SUM(IF($F45:$CA45=нет,0,IF($F45:$CA45&gt;=$F$16:$CA$16,$F$16:$CA$16,IF($F45:$CA45&lt;$F$17:$CA$17,0,$F45:$CA45)))*$F$11:$CA$11*($F$104:$CA$104=CM$4)/$F$16:$CA$16*($F$106:$CA$115*($B$106:$B$115=$B45)*($A$106:$A$115=$A$104)))</f>
        <v>#DIV/0!</v>
      </c>
      <c r="CO45" s="1000" t="e">
        <f t="array" ref="CO45">SUM(IF($F45:$CA45=нет,0,100)*$F$11:$CA$11*($F$104:$CA$104=CO$4)/100*($F$106:$CA$115*($B$106:$B$115=$B45)*($A$106:$A$115=$A$104)))</f>
        <v>#DIV/0!</v>
      </c>
      <c r="CP45" s="1000" t="e">
        <f t="array" ref="CP45">SUM(IF($F45:$CA45=нет,0,100)*$F$11:$CA$11*($F$104:$CA$104=CP$4)/100*($F$106:$CA$115*($B$106:$B$115=$B45)*($A$106:$A$115=$A$104)))</f>
        <v>#DIV/0!</v>
      </c>
      <c r="CQ45" s="1000" t="e">
        <f t="array" ref="CQ45">SUM(IF($F45:$CA45=нет,0,100)*$F$11:$CA$11*($F$105:$CA$105=CQ$4)/100*($F$106:$CA$115*($B$106:$B$115=$B45)*($A$106:$A$115=$A$104)))</f>
        <v>#DIV/0!</v>
      </c>
      <c r="CR45" s="1057">
        <f>'НУ(ВИД3)'!E46</f>
        <v>21</v>
      </c>
      <c r="CS45" s="1000" t="e">
        <f t="array" ref="CS45">SUM(IF($F45:$CA45=нет,0,100)*$F$11:$CA$11*($F$104:$CA$104=CS$4)/100*($F$106:$CA$115*($B$106:$B$115=$B45)*($A$106:$A$115=$A$104)))</f>
        <v>#DIV/0!</v>
      </c>
      <c r="CT45" s="1000" t="e">
        <f t="array" ref="CT45">SUM(IF($F45:$CA45=нет,0,100)*$F$11:$CA$11*($F$104:$CA$104=CT$4)/100*($F$106:$CA$115*($B$106:$B$115=$B45)*($A$106:$A$115=$A$104)))</f>
        <v>#DIV/0!</v>
      </c>
      <c r="CU45" s="1000" t="e">
        <f t="array" ref="CU45">SUM(IF($F45:$CA45=нет,0,100)*$F$11:$CA$11*($F$104:$CA$104=CU$4)/100*($F$106:$CA$115*($B$106:$B$115=$B45)*($A$106:$A$115=$A$104)))</f>
        <v>#DIV/0!</v>
      </c>
      <c r="CW45" s="333" t="e">
        <f>SUM(CG45:CH45,CJ45:CM45,'Реестр ППС'!#REF!,' "Вуз зож"'!S45)</f>
        <v>#REF!</v>
      </c>
      <c r="CX45" s="333" t="e">
        <f>SUM(CO45:CP45,CR45:CU45,'Реестр ППС'!#REF!,' "Вуз зож"'!T45)</f>
        <v>#REF!</v>
      </c>
      <c r="CY45" s="332" t="e">
        <f t="shared" si="10"/>
        <v>#REF!</v>
      </c>
      <c r="DA45" s="336" t="e">
        <f>SUM(CI45:CK45,CM45,'Реестр ППС'!#REF!,' "Вуз зож"'!S45)</f>
        <v>#REF!</v>
      </c>
      <c r="DB45" s="336" t="e">
        <f>SUM(CQ45:CS45,CU45,'Реестр ППС'!#REF!,' "Вуз зож"'!T45)</f>
        <v>#REF!</v>
      </c>
      <c r="DC45" s="332" t="e">
        <f t="shared" si="37"/>
        <v>#REF!</v>
      </c>
      <c r="DD45" s="961"/>
      <c r="DE45" s="337" t="e">
        <f t="shared" ref="DE45:DE59" si="43">IF(CO45=0,0,TEXT(CG45/CO45*100,"0,0")&amp;"%
="&amp;TEXT(CG45,"0,0")&amp;"/"&amp;TEXT(CO45,"0,0"))</f>
        <v>#DIV/0!</v>
      </c>
      <c r="DF45" s="337" t="e">
        <f t="shared" ref="DF45:DF77" si="44">IF(CP45=0,0,TEXT(CH45/CP45*100,"0,0")&amp;"%
="&amp;TEXT(CH45,"0,0")&amp;"/"&amp;TEXT(CP45,"0,0"))</f>
        <v>#DIV/0!</v>
      </c>
      <c r="DG45" s="337" t="e">
        <f t="shared" ref="DG45:DG77" si="45">IF(CQ45=0,0,TEXT(CI45/CQ45*100,"0,0")&amp;"%
="&amp;TEXT(CI45,"0,0")&amp;"/"&amp;TEXT(CQ45,"0,0"))</f>
        <v>#DIV/0!</v>
      </c>
      <c r="DH45" s="337" t="e">
        <f t="shared" ref="DH45:DH77" si="46">IF(CR45=0,0,TEXT(CJ45/CR45*100,"0,0")&amp;"%
="&amp;TEXT(CJ45,"0,0")&amp;"/"&amp;TEXT(CR45,"0,0"))</f>
        <v>#DIV/0!</v>
      </c>
      <c r="DI45" s="337" t="e">
        <f t="shared" ref="DI45:DI77" si="47">IF(CS45=0,0,TEXT(CK45/CS45*100,"0,0")&amp;"%
="&amp;TEXT(CK45,"0,0")&amp;"/"&amp;TEXT(CS45,"0,0"))</f>
        <v>#DIV/0!</v>
      </c>
      <c r="DJ45" s="337" t="e">
        <f t="shared" ref="DJ45:DJ77" si="48">IF(CT45=0,0,TEXT(CL45/CT45*100,"0,0")&amp;"%
="&amp;TEXT(CL45,"0,0")&amp;"/"&amp;TEXT(CT45,"0,0"))</f>
        <v>#DIV/0!</v>
      </c>
      <c r="DK45" s="337" t="e">
        <f t="shared" ref="DK45:DK77" si="49">IF(CU45=0,0,TEXT(CM45/CU45*100,"0,0")&amp;"%
="&amp;TEXT(CM45,"0,0")&amp;"/"&amp;TEXT(CU45,"0,0"))</f>
        <v>#DIV/0!</v>
      </c>
      <c r="DL45" s="334" t="str">
        <f t="shared" si="4"/>
        <v>Факультетской педиатрии</v>
      </c>
      <c r="DM45" s="215" t="str">
        <f t="shared" si="18"/>
        <v>ПЕДИАТРИИ</v>
      </c>
      <c r="DN45" s="1505" t="e">
        <f t="shared" si="38"/>
        <v>#REF!</v>
      </c>
      <c r="DO45" s="338"/>
      <c r="DP45" s="338"/>
      <c r="DQ45" s="338"/>
      <c r="DR45" s="318"/>
      <c r="DS45" s="318"/>
      <c r="DT45" s="318"/>
      <c r="DU45" s="318"/>
      <c r="DV45" s="318"/>
      <c r="DW45" s="318"/>
      <c r="DX45" s="318"/>
    </row>
    <row r="46" spans="1:128" s="215" customFormat="1" ht="15.75" thickBot="1" x14ac:dyDescent="0.25">
      <c r="A46" s="550" t="s">
        <v>405</v>
      </c>
      <c r="B46" s="340" t="s">
        <v>7</v>
      </c>
      <c r="C46" s="482">
        <f>Кадры!C46</f>
        <v>0</v>
      </c>
      <c r="D46" s="987" t="str">
        <f>CC46</f>
        <v>ПЕДИАТРИИ</v>
      </c>
      <c r="E46" s="341" t="s">
        <v>16</v>
      </c>
      <c r="F46" s="567" t="s">
        <v>31</v>
      </c>
      <c r="G46" s="909"/>
      <c r="H46" s="817">
        <f t="shared" si="5"/>
        <v>100</v>
      </c>
      <c r="I46" s="1748"/>
      <c r="J46" s="860">
        <f t="shared" si="6"/>
        <v>100</v>
      </c>
      <c r="K46" s="920">
        <f>МероприятияВуза!$AR46+МероприятияВуза!$AQ46</f>
        <v>0</v>
      </c>
      <c r="L46" s="919">
        <f>МероприятияВуза!$G46+МероприятияВуза!$H46</f>
        <v>0</v>
      </c>
      <c r="M46" s="925" t="str">
        <f t="shared" si="20"/>
        <v>нет</v>
      </c>
      <c r="N46" s="923">
        <f>МероприятияВуза!$AS46</f>
        <v>0</v>
      </c>
      <c r="O46" s="919">
        <f>МероприятияВуза!$I46+МероприятияВуза!$J46</f>
        <v>0</v>
      </c>
      <c r="P46" s="925" t="str">
        <f t="shared" si="21"/>
        <v>нет</v>
      </c>
      <c r="Q46" s="1844"/>
      <c r="R46" s="817">
        <f t="shared" si="22"/>
        <v>100</v>
      </c>
      <c r="S46" s="1847"/>
      <c r="T46" s="1848"/>
      <c r="U46" s="844" t="str">
        <f t="shared" si="23"/>
        <v>нет</v>
      </c>
      <c r="V46" s="904"/>
      <c r="W46" s="909"/>
      <c r="X46" s="844" t="str">
        <f t="shared" si="7"/>
        <v>нет</v>
      </c>
      <c r="Y46" s="1857"/>
      <c r="Z46" s="1858"/>
      <c r="AA46" s="844" t="str">
        <f t="shared" si="8"/>
        <v>нет</v>
      </c>
      <c r="AB46" s="1748"/>
      <c r="AC46" s="909"/>
      <c r="AD46" s="912" t="str">
        <f t="shared" si="24"/>
        <v>нет</v>
      </c>
      <c r="AE46" s="947"/>
      <c r="AF46" s="949"/>
      <c r="AG46" s="844" t="str">
        <f t="shared" si="9"/>
        <v>нет</v>
      </c>
      <c r="AH46" s="951"/>
      <c r="AI46" s="949"/>
      <c r="AJ46" s="844" t="str">
        <f t="shared" si="25"/>
        <v>нет</v>
      </c>
      <c r="AK46" s="935">
        <f>ПрофРабота!$Q46</f>
        <v>0</v>
      </c>
      <c r="AL46" s="485">
        <f>ПрофРабота!$R46</f>
        <v>0</v>
      </c>
      <c r="AM46" s="485">
        <f>ПрофРабота!$S46</f>
        <v>0</v>
      </c>
      <c r="AN46" s="817">
        <f>ПрофРабота!$C46</f>
        <v>0</v>
      </c>
      <c r="AO46" s="923">
        <f>МероприятияВуза!$AT46</f>
        <v>0</v>
      </c>
      <c r="AP46" s="919">
        <f>МероприятияВуза!$K46</f>
        <v>0</v>
      </c>
      <c r="AQ46" s="817" t="str">
        <f t="shared" si="26"/>
        <v>нет</v>
      </c>
      <c r="AR46" s="938">
        <f>'ДПО(Финансы)'!$R46</f>
        <v>0</v>
      </c>
      <c r="AS46" s="939">
        <f>'ДПО(Финансы)'!$D46</f>
        <v>20000</v>
      </c>
      <c r="AT46" s="510">
        <f t="shared" si="27"/>
        <v>0</v>
      </c>
      <c r="AU46" s="1519">
        <f t="shared" si="28"/>
        <v>0</v>
      </c>
      <c r="AV46" s="938">
        <f>'ДПО(Финансы)'!$R46</f>
        <v>0</v>
      </c>
      <c r="AW46" s="939">
        <f>'ИДО(Финансы)'!$R46</f>
        <v>0</v>
      </c>
      <c r="AX46" s="939">
        <f>'ДПО(Финансы)'!$S46</f>
        <v>18400</v>
      </c>
      <c r="AY46" s="939">
        <f>'ИДО(Финансы)'!$S46</f>
        <v>0</v>
      </c>
      <c r="AZ46" s="839" t="e">
        <f t="shared" si="0"/>
        <v>#DIV/0!</v>
      </c>
      <c r="BA46" s="1520">
        <f t="array" ref="BA46">IF(($E46="да"),IF($AX46=0,"нет",$AV46/$AX46*100-100),"нет")</f>
        <v>-100</v>
      </c>
      <c r="BB46" s="1521">
        <f t="array" ref="BB46">IF(($E46="да"),IF($AX46=0,"нет",$AV46/$AX46*100),"нет")</f>
        <v>0</v>
      </c>
      <c r="BC46" s="1522">
        <f t="shared" si="1"/>
        <v>0</v>
      </c>
      <c r="BD46" s="1522" t="e">
        <f t="array" ref="BD46">IF(($E46="да"),IF($AZ46&gt;$AZ$17,$AZ46/$AZ$16*BD$16,нет),нет)</f>
        <v>#DIV/0!</v>
      </c>
      <c r="BE46" s="938">
        <f>'ИДО(Финансы)'!$R46</f>
        <v>0</v>
      </c>
      <c r="BF46" s="939">
        <f>'ИДО(Финансы)'!D46</f>
        <v>0</v>
      </c>
      <c r="BG46" s="510" t="str">
        <f t="shared" si="29"/>
        <v>нет</v>
      </c>
      <c r="BH46" s="1519" t="str">
        <f t="shared" si="30"/>
        <v>нет</v>
      </c>
      <c r="BI46" s="1523">
        <f t="array" ref="BI46">IF(($E46="да")+($F46="да"),IF((BF46+AS46)=0,"нет",(AR46+BE46)/(BF46+AS46)*100),"нет")</f>
        <v>0</v>
      </c>
      <c r="BJ46" s="829">
        <f>Кадры!$I46</f>
        <v>0</v>
      </c>
      <c r="BK46" s="940">
        <f>Кадры!$O46</f>
        <v>0</v>
      </c>
      <c r="BL46" s="941">
        <f>Кадры!$K46</f>
        <v>0</v>
      </c>
      <c r="BM46" s="821" t="str">
        <f t="array" ref="BM46">IF(BL46=0,"нет",BK46/BL46*100)</f>
        <v>нет</v>
      </c>
      <c r="BN46" s="923">
        <f>Кадры!E46</f>
        <v>0</v>
      </c>
      <c r="BO46" s="941">
        <f>Кадры!$K46</f>
        <v>0</v>
      </c>
      <c r="BP46" s="343" t="str">
        <f t="shared" si="31"/>
        <v>нет</v>
      </c>
      <c r="BQ46" s="342" t="e">
        <f t="shared" si="32"/>
        <v>#DIV/0!</v>
      </c>
      <c r="BR46" s="940">
        <f>Кадры!$L46</f>
        <v>0</v>
      </c>
      <c r="BS46" s="1544">
        <f>Кадры!$J46</f>
        <v>0</v>
      </c>
      <c r="BT46" s="343">
        <f t="shared" si="33"/>
        <v>0</v>
      </c>
      <c r="BU46" s="817">
        <f t="shared" si="34"/>
        <v>100</v>
      </c>
      <c r="BV46" s="923">
        <f>Кадры!$D46</f>
        <v>0</v>
      </c>
      <c r="BW46" s="919">
        <f>Кадры!$F46</f>
        <v>0</v>
      </c>
      <c r="BX46" s="817" t="e">
        <f t="shared" si="35"/>
        <v>#DIV/0!</v>
      </c>
      <c r="BY46" s="940">
        <f>Кадры!$P46</f>
        <v>0</v>
      </c>
      <c r="BZ46" s="941">
        <f>Кадры!$L46</f>
        <v>0</v>
      </c>
      <c r="CA46" s="342" t="str">
        <f t="shared" si="36"/>
        <v>нет</v>
      </c>
      <c r="CC46" s="987" t="s">
        <v>332</v>
      </c>
      <c r="CD46" s="268"/>
      <c r="CE46" s="961"/>
      <c r="CG46" s="335" t="e">
        <f t="array" ref="CG46">SUM(IF($F46:$CA46=нет,0,IF($F46:$CA46&gt;=$F$16:$CA$16,$F$16:$CA$16,IF($F46:$CA46&lt;$F$17:$CA$17,0,$F46:$CA46)))*$F$11:$CA$11*($F$104:$CA$104=CG$4)/$F$16:$CA$16*($F$106:$CA$115*($B$106:$B$115=$B46)*($A$106:$A$115=$A$104)))</f>
        <v>#DIV/0!</v>
      </c>
      <c r="CH46" s="335" t="e">
        <f t="array" ref="CH46">SUM(IF($F46:$CA46=нет,0,IF($F46:$CA46&gt;=$F$16:$CA$16,$F$16:$CA$16,IF($F46:$CA46&lt;$F$17:$CA$17,0,$F46:$CA46)))*$F$11:$CA$11*($F$104:$CA$104=CH$4)/$F$16:$CA$16*($F$106:$CA$115*($B$106:$B$115=$B46)*($A$106:$A$115=$A$104)))</f>
        <v>#DIV/0!</v>
      </c>
      <c r="CI46" s="335" t="e">
        <f t="array" ref="CI46">SUM(IF($F46:$CA46=нет,0,IF($F46:$CA46&gt;=$F$16:$CA$16,$F$16:$CA$16,IF($F46:$CA46&lt;$F$17:$CA$17,0,$F46:$CA46)))*$F$11:$CA$11*($F$105:$CA$105=CI$4)/$F$16:$CA$16*($F$106:$CA$115*($B$106:$B$115=$B46)*($A$106:$A$115=$A$104)))</f>
        <v>#DIV/0!</v>
      </c>
      <c r="CJ46" s="1072" t="e">
        <f>'НУ(ВИД3)'!D47</f>
        <v>#DIV/0!</v>
      </c>
      <c r="CK46" s="335" t="e">
        <f t="array" ref="CK46">SUM(IF($F46:$CA46=нет,0,IF($F46:$CA46&gt;=$F$16:$CA$16,$F$16:$CA$16,IF($F46:$CA46&lt;$F$17:$CA$17,0,$F46:$CA46)))*$F$11:$CA$11*($F$104:$CA$104=CK$4)/$F$16:$CA$16*($F$106:$CA$115*($B$106:$B$115=$B46)*($A$106:$A$115=$A$104)))</f>
        <v>#DIV/0!</v>
      </c>
      <c r="CL46" s="335" t="e">
        <f t="array" ref="CL46">SUM(IF($F46:$CA46=нет,0,IF($F46:$CA46&gt;=$F$16:$CA$16,$F$16:$CA$16,IF($F46:$CA46&lt;$F$17:$CA$17,0,$F46:$CA46)))*$F$11:$CA$11*($F$104:$CA$104=CL$4)/$F$16:$CA$16*($F$106:$CA$115*($B$106:$B$115=$B46)*($A$106:$A$115=$A$104)))</f>
        <v>#DIV/0!</v>
      </c>
      <c r="CM46" s="335" t="e">
        <f t="array" ref="CM46">SUM(IF($F46:$CA46=нет,0,IF($F46:$CA46&gt;=$F$16:$CA$16,$F$16:$CA$16,IF($F46:$CA46&lt;$F$17:$CA$17,0,$F46:$CA46)))*$F$11:$CA$11*($F$104:$CA$104=CM$4)/$F$16:$CA$16*($F$106:$CA$115*($B$106:$B$115=$B46)*($A$106:$A$115=$A$104)))</f>
        <v>#DIV/0!</v>
      </c>
      <c r="CO46" s="1000" t="e">
        <f t="array" ref="CO46">SUM(IF($F46:$CA46=нет,0,100)*$F$11:$CA$11*($F$104:$CA$104=CO$4)/100*($F$106:$CA$115*($B$106:$B$115=$B46)*($A$106:$A$115=$A$104)))</f>
        <v>#DIV/0!</v>
      </c>
      <c r="CP46" s="1000" t="e">
        <f t="array" ref="CP46">SUM(IF($F46:$CA46=нет,0,100)*$F$11:$CA$11*($F$104:$CA$104=CP$4)/100*($F$106:$CA$115*($B$106:$B$115=$B46)*($A$106:$A$115=$A$104)))</f>
        <v>#DIV/0!</v>
      </c>
      <c r="CQ46" s="1000" t="e">
        <f t="array" ref="CQ46">SUM(IF($F46:$CA46=нет,0,100)*$F$11:$CA$11*($F$105:$CA$105=CQ$4)/100*($F$106:$CA$115*($B$106:$B$115=$B46)*($A$106:$A$115=$A$104)))</f>
        <v>#DIV/0!</v>
      </c>
      <c r="CR46" s="1057">
        <f>'НУ(ВИД3)'!E47</f>
        <v>21</v>
      </c>
      <c r="CS46" s="1000" t="e">
        <f t="array" ref="CS46">SUM(IF($F46:$CA46=нет,0,100)*$F$11:$CA$11*($F$104:$CA$104=CS$4)/100*($F$106:$CA$115*($B$106:$B$115=$B46)*($A$106:$A$115=$A$104)))</f>
        <v>#DIV/0!</v>
      </c>
      <c r="CT46" s="1000" t="e">
        <f t="array" ref="CT46">SUM(IF($F46:$CA46=нет,0,100)*$F$11:$CA$11*($F$104:$CA$104=CT$4)/100*($F$106:$CA$115*($B$106:$B$115=$B46)*($A$106:$A$115=$A$104)))</f>
        <v>#DIV/0!</v>
      </c>
      <c r="CU46" s="1000" t="e">
        <f t="array" ref="CU46">SUM(IF($F46:$CA46=нет,0,100)*$F$11:$CA$11*($F$104:$CA$104=CU$4)/100*($F$106:$CA$115*($B$106:$B$115=$B46)*($A$106:$A$115=$A$104)))</f>
        <v>#DIV/0!</v>
      </c>
      <c r="CW46" s="333" t="e">
        <f>SUM(CG46:CH46,CJ46:CM46,'Реестр ППС'!#REF!,' "Вуз зож"'!S46)</f>
        <v>#REF!</v>
      </c>
      <c r="CX46" s="333" t="e">
        <f>SUM(CO46:CP46,CR46:CU46,'Реестр ППС'!#REF!,' "Вуз зож"'!T46)</f>
        <v>#REF!</v>
      </c>
      <c r="CY46" s="332" t="e">
        <f t="shared" si="10"/>
        <v>#REF!</v>
      </c>
      <c r="DA46" s="336" t="e">
        <f>SUM(CI46:CK46,CM46,'Реестр ППС'!#REF!,' "Вуз зож"'!S46)</f>
        <v>#REF!</v>
      </c>
      <c r="DB46" s="336" t="e">
        <f>SUM(CQ46:CS46,CU46,'Реестр ППС'!#REF!,' "Вуз зож"'!T46)</f>
        <v>#REF!</v>
      </c>
      <c r="DC46" s="332" t="e">
        <f t="shared" si="37"/>
        <v>#REF!</v>
      </c>
      <c r="DD46" s="961"/>
      <c r="DE46" s="337" t="e">
        <f t="shared" si="43"/>
        <v>#DIV/0!</v>
      </c>
      <c r="DF46" s="337" t="e">
        <f t="shared" si="44"/>
        <v>#DIV/0!</v>
      </c>
      <c r="DG46" s="337" t="e">
        <f t="shared" si="45"/>
        <v>#DIV/0!</v>
      </c>
      <c r="DH46" s="337" t="e">
        <f t="shared" si="46"/>
        <v>#DIV/0!</v>
      </c>
      <c r="DI46" s="337" t="e">
        <f t="shared" si="47"/>
        <v>#DIV/0!</v>
      </c>
      <c r="DJ46" s="337" t="e">
        <f t="shared" si="48"/>
        <v>#DIV/0!</v>
      </c>
      <c r="DK46" s="337" t="e">
        <f t="shared" si="49"/>
        <v>#DIV/0!</v>
      </c>
      <c r="DL46" s="334" t="str">
        <f t="shared" si="4"/>
        <v>Хирургических болезней детского возраста</v>
      </c>
      <c r="DM46" s="215" t="str">
        <f t="shared" si="18"/>
        <v>ПЕДИАТРИИ</v>
      </c>
      <c r="DN46" s="1505" t="e">
        <f t="shared" si="38"/>
        <v>#REF!</v>
      </c>
      <c r="DO46" s="338"/>
      <c r="DP46" s="338"/>
      <c r="DQ46" s="338"/>
      <c r="DR46" s="318"/>
      <c r="DS46" s="318"/>
      <c r="DT46" s="318"/>
      <c r="DU46" s="318"/>
      <c r="DV46" s="318"/>
      <c r="DW46" s="318"/>
      <c r="DX46" s="318"/>
    </row>
    <row r="47" spans="1:128" s="907" customFormat="1" ht="15.75" thickBot="1" x14ac:dyDescent="0.25">
      <c r="A47" s="1001" t="s">
        <v>508</v>
      </c>
      <c r="B47" s="974" t="s">
        <v>7</v>
      </c>
      <c r="C47" s="1002">
        <f>Кадры!C47</f>
        <v>0</v>
      </c>
      <c r="D47" s="998" t="str">
        <f>CC47</f>
        <v>ПЕДИАТРИИ</v>
      </c>
      <c r="E47" s="1004" t="s">
        <v>16</v>
      </c>
      <c r="F47" s="1004" t="s">
        <v>31</v>
      </c>
      <c r="G47" s="1005"/>
      <c r="H47" s="1752">
        <f t="shared" ref="H47" si="50">IF(G47&gt;0,0,100)</f>
        <v>100</v>
      </c>
      <c r="I47" s="1749"/>
      <c r="J47" s="1007">
        <f t="shared" ref="J47" si="51">IF(I47&gt;0,0,100)</f>
        <v>100</v>
      </c>
      <c r="K47" s="1008">
        <f>МероприятияВуза!$AR47+МероприятияВуза!$AQ47</f>
        <v>0</v>
      </c>
      <c r="L47" s="1009">
        <f>МероприятияВуза!$G47+МероприятияВуза!$H47</f>
        <v>0</v>
      </c>
      <c r="M47" s="1010" t="str">
        <f t="shared" ref="M47" si="52">IF((L47&gt;0),K47/L47*100,IF(K47&gt;0,100,нет))</f>
        <v>нет</v>
      </c>
      <c r="N47" s="1011">
        <f>МероприятияВуза!$AS47</f>
        <v>0</v>
      </c>
      <c r="O47" s="1009">
        <f>МероприятияВуза!$I47+МероприятияВуза!$J47</f>
        <v>0</v>
      </c>
      <c r="P47" s="1010" t="str">
        <f t="shared" ref="P47" si="53">IF((O47&gt;0),N47/O47*100,IF(N47&gt;0,100,нет))</f>
        <v>нет</v>
      </c>
      <c r="Q47" s="1841"/>
      <c r="R47" s="817">
        <f t="shared" si="22"/>
        <v>100</v>
      </c>
      <c r="S47" s="1851"/>
      <c r="T47" s="1850"/>
      <c r="U47" s="1013" t="str">
        <f t="shared" ref="U47" si="54">IF(T47=0,"нет",S47/T47*100)</f>
        <v>нет</v>
      </c>
      <c r="V47" s="1012"/>
      <c r="W47" s="1005"/>
      <c r="X47" s="1013" t="str">
        <f t="shared" ref="X47" si="55">IF(W47=0,"нет",V47/W47*100)</f>
        <v>нет</v>
      </c>
      <c r="Y47" s="1861"/>
      <c r="Z47" s="1860"/>
      <c r="AA47" s="1750" t="str">
        <f t="shared" ref="AA47" si="56">IF(Z47=0,"нет",Y47/Z47*100)</f>
        <v>нет</v>
      </c>
      <c r="AB47" s="1749"/>
      <c r="AC47" s="1005"/>
      <c r="AD47" s="1014" t="str">
        <f t="shared" si="24"/>
        <v>нет</v>
      </c>
      <c r="AE47" s="1015"/>
      <c r="AF47" s="1016"/>
      <c r="AG47" s="1013" t="str">
        <f t="shared" ref="AG47" si="57">IF(AF47=0,"нет",AE47/AF47*100)</f>
        <v>нет</v>
      </c>
      <c r="AH47" s="1017"/>
      <c r="AI47" s="1016"/>
      <c r="AJ47" s="1013" t="str">
        <f t="shared" ref="AJ47" si="58">IF(AI47=0,"нет",AH47/AI47*100)</f>
        <v>нет</v>
      </c>
      <c r="AK47" s="1018">
        <f>ПрофРабота!$Q47</f>
        <v>0</v>
      </c>
      <c r="AL47" s="997">
        <f>ПрофРабота!$R47</f>
        <v>0</v>
      </c>
      <c r="AM47" s="997">
        <f>ПрофРабота!$S47</f>
        <v>0</v>
      </c>
      <c r="AN47" s="933">
        <f>ПрофРабота!$C47</f>
        <v>0</v>
      </c>
      <c r="AO47" s="1011">
        <f>МероприятияВуза!$AT47</f>
        <v>0</v>
      </c>
      <c r="AP47" s="1009">
        <f>МероприятияВуза!$K47</f>
        <v>0</v>
      </c>
      <c r="AQ47" s="933" t="str">
        <f t="shared" ref="AQ47" si="59">IF(AP47&lt;&gt;0,AO47/AP47*100,IF(AO47&gt;0,100,нет))</f>
        <v>нет</v>
      </c>
      <c r="AR47" s="1019">
        <f>'ДПО(Финансы)'!$R47</f>
        <v>25650</v>
      </c>
      <c r="AS47" s="1020">
        <f>'ДПО(Финансы)'!$D47</f>
        <v>20000</v>
      </c>
      <c r="AT47" s="1021" t="e">
        <f t="shared" ref="AT47" si="60">IF(($E47="да"),IF(AR47=0,0,AR47/$C47),"нет")</f>
        <v>#DIV/0!</v>
      </c>
      <c r="AU47" s="1524">
        <f t="shared" ref="AU47" si="61">IF(($E47="да"),IF(AS47=0,"нет",AR47/AS47*100),"нет")</f>
        <v>128.25</v>
      </c>
      <c r="AV47" s="1019">
        <f>'ДПО(Финансы)'!$R47</f>
        <v>25650</v>
      </c>
      <c r="AW47" s="1020">
        <f>'ИДО(Финансы)'!$R47</f>
        <v>0</v>
      </c>
      <c r="AX47" s="1020">
        <f>'ДПО(Финансы)'!$S47</f>
        <v>0</v>
      </c>
      <c r="AY47" s="1020">
        <f>'ИДО(Финансы)'!$S47</f>
        <v>0</v>
      </c>
      <c r="AZ47" s="1024" t="e">
        <f t="shared" si="0"/>
        <v>#DIV/0!</v>
      </c>
      <c r="BA47" s="1525" t="str">
        <f t="array" ref="BA47">IF(($E47="да"),IF($AX47=0,"нет",$AV47/$AX47*100-100),"нет")</f>
        <v>нет</v>
      </c>
      <c r="BB47" s="1526" t="str">
        <f t="array" ref="BB47">IF(($E47="да"),IF($AX47=0,"нет",$AV47/$AX47*100),"нет")</f>
        <v>нет</v>
      </c>
      <c r="BC47" s="1527">
        <f t="shared" si="1"/>
        <v>128.25</v>
      </c>
      <c r="BD47" s="1527" t="e">
        <f t="array" ref="BD47">IF(($E47="да"),IF($AZ47&gt;$AZ$17,$AZ47/$AZ$16*BD$16,нет),нет)</f>
        <v>#DIV/0!</v>
      </c>
      <c r="BE47" s="1019">
        <f>'ИДО(Финансы)'!$R47</f>
        <v>0</v>
      </c>
      <c r="BF47" s="1020">
        <f>'ИДО(Финансы)'!D47</f>
        <v>0</v>
      </c>
      <c r="BG47" s="1021" t="str">
        <f t="shared" ref="BG47" si="62">IF(($F47="да"),IF(BE47=0,0,BE47/$C47),"нет")</f>
        <v>нет</v>
      </c>
      <c r="BH47" s="1524" t="str">
        <f t="shared" ref="BH47" si="63">IF(($F47="да"),IF(BF47=0,"нет",BE47/BF47*100),"нет")</f>
        <v>нет</v>
      </c>
      <c r="BI47" s="1528">
        <f t="array" ref="BI47">IF(($E47="да")+($F47="да"),IF((BF47+AS47)=0,"нет",(AR47+BE47)/(BF47+AS47)*100),"нет")</f>
        <v>128.25</v>
      </c>
      <c r="BJ47" s="1026">
        <f>Кадры!$I47</f>
        <v>0</v>
      </c>
      <c r="BK47" s="1022">
        <f>Кадры!$O47</f>
        <v>0</v>
      </c>
      <c r="BL47" s="1023">
        <f>Кадры!$K47</f>
        <v>0</v>
      </c>
      <c r="BM47" s="1027" t="str">
        <f t="array" ref="BM47">IF(BL47=0,"нет",BK47/BL47*100)</f>
        <v>нет</v>
      </c>
      <c r="BN47" s="1011">
        <f>Кадры!E47</f>
        <v>0</v>
      </c>
      <c r="BO47" s="1023">
        <f>Кадры!$K47</f>
        <v>0</v>
      </c>
      <c r="BP47" s="1025" t="str">
        <f t="shared" ref="BP47" si="64">IF(BN47=0,нет,BO47/BN47)</f>
        <v>нет</v>
      </c>
      <c r="BQ47" s="342" t="e">
        <f>IF(BJ47/BN47&lt;$BP$17,0,120)</f>
        <v>#DIV/0!</v>
      </c>
      <c r="BR47" s="1022">
        <f>Кадры!$L47</f>
        <v>0</v>
      </c>
      <c r="BS47" s="1545">
        <f>Кадры!$J47</f>
        <v>0</v>
      </c>
      <c r="BT47" s="1025">
        <f t="shared" ref="BT47" si="65">IF(BS47=0,0,BR47/BS47*100)</f>
        <v>0</v>
      </c>
      <c r="BU47" s="933">
        <f t="shared" ref="BU47" si="66">100-BT47</f>
        <v>100</v>
      </c>
      <c r="BV47" s="1011">
        <f>Кадры!$D47</f>
        <v>0</v>
      </c>
      <c r="BW47" s="1009">
        <f>Кадры!$F47</f>
        <v>0</v>
      </c>
      <c r="BX47" s="933" t="e">
        <f t="shared" ref="BX47" si="67">BW47/BV47*100</f>
        <v>#DIV/0!</v>
      </c>
      <c r="BY47" s="1022">
        <f>Кадры!$P47</f>
        <v>0</v>
      </c>
      <c r="BZ47" s="1023">
        <f>Кадры!$L47</f>
        <v>0</v>
      </c>
      <c r="CA47" s="1006" t="str">
        <f t="shared" ref="CA47" si="68">IF(BZ47=0,"нет",BY47/BZ47*100)</f>
        <v>нет</v>
      </c>
      <c r="CB47" s="215"/>
      <c r="CC47" s="998" t="s">
        <v>332</v>
      </c>
      <c r="CD47" s="268"/>
      <c r="CE47" s="961"/>
      <c r="CF47" s="215"/>
      <c r="CG47" s="1028" t="e">
        <f t="array" ref="CG47">SUM(IF($F47:$CA47=нет,0,IF($F47:$CA47&gt;=$F$16:$CA$16,$F$16:$CA$16,IF($F47:$CA47&lt;$F$17:$CA$17,0,$F47:$CA47)))*$F$11:$CA$11*($F$104:$CA$104=CG$4)/$F$16:$CA$16*($F$106:$CA$115*($B$106:$B$115=$B47)*($A$106:$A$115=$A$104)))</f>
        <v>#DIV/0!</v>
      </c>
      <c r="CH47" s="1028" t="e">
        <f t="array" ref="CH47">SUM(IF($F47:$CA47=нет,0,IF($F47:$CA47&gt;=$F$16:$CA$16,$F$16:$CA$16,IF($F47:$CA47&lt;$F$17:$CA$17,0,$F47:$CA47)))*$F$11:$CA$11*($F$104:$CA$104=CH$4)/$F$16:$CA$16*($F$106:$CA$115*($B$106:$B$115=$B47)*($A$106:$A$115=$A$104)))</f>
        <v>#DIV/0!</v>
      </c>
      <c r="CI47" s="1028" t="e">
        <f t="array" ref="CI47">SUM(IF($F47:$CA47=нет,0,IF($F47:$CA47&gt;=$F$16:$CA$16,$F$16:$CA$16,IF($F47:$CA47&lt;$F$17:$CA$17,0,$F47:$CA47)))*$F$11:$CA$11*($F$105:$CA$105=CI$4)/$F$16:$CA$16*($F$106:$CA$115*($B$106:$B$115=$B47)*($A$106:$A$115=$A$104)))</f>
        <v>#DIV/0!</v>
      </c>
      <c r="CJ47" s="1072" t="e">
        <f>'НУ(ВИД3)'!D48</f>
        <v>#DIV/0!</v>
      </c>
      <c r="CK47" s="1028" t="e">
        <f t="array" ref="CK47">SUM(IF($F47:$CA47=нет,0,IF($F47:$CA47&gt;=$F$16:$CA$16,$F$16:$CA$16,IF($F47:$CA47&lt;$F$17:$CA$17,0,$F47:$CA47)))*$F$11:$CA$11*($F$104:$CA$104=CK$4)/$F$16:$CA$16*($F$106:$CA$115*($B$106:$B$115=$B47)*($A$106:$A$115=$A$104)))</f>
        <v>#DIV/0!</v>
      </c>
      <c r="CL47" s="1028" t="e">
        <f t="array" ref="CL47">SUM(IF($F47:$CA47=нет,0,IF($F47:$CA47&gt;=$F$16:$CA$16,$F$16:$CA$16,IF($F47:$CA47&lt;$F$17:$CA$17,0,$F47:$CA47)))*$F$11:$CA$11*($F$104:$CA$104=CL$4)/$F$16:$CA$16*($F$106:$CA$115*($B$106:$B$115=$B47)*($A$106:$A$115=$A$104)))</f>
        <v>#DIV/0!</v>
      </c>
      <c r="CM47" s="1028" t="e">
        <f t="array" ref="CM47">SUM(IF($F47:$CA47=нет,0,IF($F47:$CA47&gt;=$F$16:$CA$16,$F$16:$CA$16,IF($F47:$CA47&lt;$F$17:$CA$17,0,$F47:$CA47)))*$F$11:$CA$11*($F$104:$CA$104=CM$4)/$F$16:$CA$16*($F$106:$CA$115*($B$106:$B$115=$B47)*($A$106:$A$115=$A$104)))</f>
        <v>#DIV/0!</v>
      </c>
      <c r="CN47" s="215"/>
      <c r="CO47" s="1029" t="e">
        <f t="array" ref="CO47">SUM(IF($F47:$CA47=нет,0,100)*$F$11:$CA$11*($F$104:$CA$104=CO$4)/100*($F$106:$CA$115*($B$106:$B$115=$B47)*($A$106:$A$115=$A$104)))</f>
        <v>#DIV/0!</v>
      </c>
      <c r="CP47" s="1029" t="e">
        <f t="array" ref="CP47">SUM(IF($F47:$CA47=нет,0,100)*$F$11:$CA$11*($F$104:$CA$104=CP$4)/100*($F$106:$CA$115*($B$106:$B$115=$B47)*($A$106:$A$115=$A$104)))</f>
        <v>#DIV/0!</v>
      </c>
      <c r="CQ47" s="1029" t="e">
        <f t="array" ref="CQ47">SUM(IF($F47:$CA47=нет,0,100)*$F$11:$CA$11*($F$105:$CA$105=CQ$4)/100*($F$106:$CA$115*($B$106:$B$115=$B47)*($A$106:$A$115=$A$104)))</f>
        <v>#DIV/0!</v>
      </c>
      <c r="CR47" s="1057">
        <f>'НУ(ВИД3)'!E48</f>
        <v>21</v>
      </c>
      <c r="CS47" s="1029" t="e">
        <f t="array" ref="CS47">SUM(IF($F47:$CA47=нет,0,100)*$F$11:$CA$11*($F$104:$CA$104=CS$4)/100*($F$106:$CA$115*($B$106:$B$115=$B47)*($A$106:$A$115=$A$104)))</f>
        <v>#DIV/0!</v>
      </c>
      <c r="CT47" s="1029" t="e">
        <f t="array" ref="CT47">SUM(IF($F47:$CA47=нет,0,100)*$F$11:$CA$11*($F$104:$CA$104=CT$4)/100*($F$106:$CA$115*($B$106:$B$115=$B47)*($A$106:$A$115=$A$104)))</f>
        <v>#DIV/0!</v>
      </c>
      <c r="CU47" s="1029" t="e">
        <f t="array" ref="CU47">SUM(IF($F47:$CA47=нет,0,100)*$F$11:$CA$11*($F$104:$CA$104=CU$4)/100*($F$106:$CA$115*($B$106:$B$115=$B47)*($A$106:$A$115=$A$104)))</f>
        <v>#DIV/0!</v>
      </c>
      <c r="CV47" s="215"/>
      <c r="CW47" s="1030" t="e">
        <f>SUM(CG47:CH47,CJ47:CM47,'Реестр ППС'!#REF!,' "Вуз зож"'!S47)</f>
        <v>#REF!</v>
      </c>
      <c r="CX47" s="1030" t="e">
        <f>SUM(CO47:CP47,CR47:CU47,'Реестр ППС'!#REF!,' "Вуз зож"'!T47)</f>
        <v>#REF!</v>
      </c>
      <c r="CY47" s="1031" t="e">
        <f t="shared" si="10"/>
        <v>#REF!</v>
      </c>
      <c r="CZ47" s="215"/>
      <c r="DA47" s="336" t="e">
        <f>SUM(CI47:CK47,CM47,'Реестр ППС'!#REF!,' "Вуз зож"'!S47)</f>
        <v>#REF!</v>
      </c>
      <c r="DB47" s="336" t="e">
        <f>SUM(CQ47:CS47,CU47,'Реестр ППС'!#REF!,' "Вуз зож"'!T47)</f>
        <v>#REF!</v>
      </c>
      <c r="DC47" s="1031" t="e">
        <f t="shared" ref="DC47" si="69">IF(DB47=0,0,DA47/DB47*100)</f>
        <v>#REF!</v>
      </c>
      <c r="DD47" s="961"/>
      <c r="DE47" s="1032" t="e">
        <f t="shared" si="43"/>
        <v>#DIV/0!</v>
      </c>
      <c r="DF47" s="1032" t="e">
        <f t="shared" si="44"/>
        <v>#DIV/0!</v>
      </c>
      <c r="DG47" s="1032" t="e">
        <f t="shared" si="45"/>
        <v>#DIV/0!</v>
      </c>
      <c r="DH47" s="1032" t="e">
        <f t="shared" si="46"/>
        <v>#DIV/0!</v>
      </c>
      <c r="DI47" s="1032" t="e">
        <f t="shared" si="47"/>
        <v>#DIV/0!</v>
      </c>
      <c r="DJ47" s="1032" t="e">
        <f t="shared" si="48"/>
        <v>#DIV/0!</v>
      </c>
      <c r="DK47" s="1032" t="e">
        <f t="shared" si="49"/>
        <v>#DIV/0!</v>
      </c>
      <c r="DL47" s="334" t="str">
        <f t="shared" si="4"/>
        <v>Клинической фармакологии</v>
      </c>
      <c r="DM47" s="215" t="str">
        <f t="shared" si="18"/>
        <v>ПЕДИАТРИИ</v>
      </c>
      <c r="DN47" s="1506" t="e">
        <f t="shared" si="38"/>
        <v>#REF!</v>
      </c>
      <c r="DO47" s="338"/>
      <c r="DP47" s="338"/>
      <c r="DQ47" s="338"/>
      <c r="DR47" s="318"/>
      <c r="DS47" s="318"/>
      <c r="DT47" s="318"/>
      <c r="DU47" s="318"/>
      <c r="DV47" s="318"/>
      <c r="DW47" s="318"/>
      <c r="DX47" s="318"/>
    </row>
    <row r="48" spans="1:128" s="1055" customFormat="1" ht="15.75" thickBot="1" x14ac:dyDescent="0.25">
      <c r="A48" s="569" t="s">
        <v>106</v>
      </c>
      <c r="B48" s="976" t="s">
        <v>7</v>
      </c>
      <c r="C48" s="565">
        <f>Кадры!C48</f>
        <v>0</v>
      </c>
      <c r="D48" s="577" t="str">
        <f t="shared" si="19"/>
        <v>СТОМ</v>
      </c>
      <c r="E48" s="568" t="s">
        <v>16</v>
      </c>
      <c r="F48" s="568" t="s">
        <v>31</v>
      </c>
      <c r="G48" s="576"/>
      <c r="H48" s="934">
        <f t="shared" si="5"/>
        <v>100</v>
      </c>
      <c r="I48" s="1836"/>
      <c r="J48" s="1034">
        <f t="shared" si="6"/>
        <v>100</v>
      </c>
      <c r="K48" s="1035">
        <f>МероприятияВуза!$AR48+МероприятияВуза!$AQ48</f>
        <v>0</v>
      </c>
      <c r="L48" s="1036">
        <f>МероприятияВуза!$G48+МероприятияВуза!$H48</f>
        <v>0</v>
      </c>
      <c r="M48" s="1037" t="str">
        <f t="shared" si="20"/>
        <v>нет</v>
      </c>
      <c r="N48" s="1038">
        <f>МероприятияВуза!$AS48</f>
        <v>0</v>
      </c>
      <c r="O48" s="1036">
        <f>МероприятияВуза!$I48+МероприятияВуза!$J48</f>
        <v>0</v>
      </c>
      <c r="P48" s="1037" t="str">
        <f t="shared" si="21"/>
        <v>нет</v>
      </c>
      <c r="Q48" s="1843"/>
      <c r="R48" s="817">
        <f t="shared" si="22"/>
        <v>100</v>
      </c>
      <c r="S48" s="1852"/>
      <c r="T48" s="1845"/>
      <c r="U48" s="908" t="str">
        <f t="shared" si="23"/>
        <v>нет</v>
      </c>
      <c r="V48" s="1039"/>
      <c r="W48" s="576"/>
      <c r="X48" s="908" t="str">
        <f t="shared" si="7"/>
        <v>нет</v>
      </c>
      <c r="Y48" s="1862"/>
      <c r="Z48" s="1855"/>
      <c r="AA48" s="908" t="str">
        <f t="shared" si="8"/>
        <v>нет</v>
      </c>
      <c r="AB48" s="1039"/>
      <c r="AC48" s="576"/>
      <c r="AD48" s="908" t="str">
        <f t="shared" si="24"/>
        <v>нет</v>
      </c>
      <c r="AE48" s="1041"/>
      <c r="AF48" s="1042"/>
      <c r="AG48" s="908" t="str">
        <f t="shared" si="9"/>
        <v>нет</v>
      </c>
      <c r="AH48" s="1043"/>
      <c r="AI48" s="1042"/>
      <c r="AJ48" s="908" t="str">
        <f t="shared" si="25"/>
        <v>нет</v>
      </c>
      <c r="AK48" s="1044">
        <f>ПрофРабота!$Q48</f>
        <v>0</v>
      </c>
      <c r="AL48" s="577">
        <f>ПрофРабота!$R48</f>
        <v>0</v>
      </c>
      <c r="AM48" s="577">
        <f>ПрофРабота!$S48</f>
        <v>0</v>
      </c>
      <c r="AN48" s="934">
        <f>ПрофРабота!$C48</f>
        <v>0</v>
      </c>
      <c r="AO48" s="1038">
        <f>МероприятияВуза!$AT48</f>
        <v>0</v>
      </c>
      <c r="AP48" s="1036">
        <f>МероприятияВуза!$K48</f>
        <v>0</v>
      </c>
      <c r="AQ48" s="934" t="str">
        <f t="shared" si="26"/>
        <v>нет</v>
      </c>
      <c r="AR48" s="1045">
        <f>'ДПО(Финансы)'!$R48</f>
        <v>48350</v>
      </c>
      <c r="AS48" s="1046">
        <f>'ДПО(Финансы)'!$D48</f>
        <v>55000</v>
      </c>
      <c r="AT48" s="1047" t="e">
        <f t="shared" si="27"/>
        <v>#DIV/0!</v>
      </c>
      <c r="AU48" s="1514">
        <f t="shared" si="28"/>
        <v>87.909090909090921</v>
      </c>
      <c r="AV48" s="1045">
        <f>'ДПО(Финансы)'!$R48</f>
        <v>48350</v>
      </c>
      <c r="AW48" s="1046">
        <f>'ИДО(Финансы)'!$R48</f>
        <v>0</v>
      </c>
      <c r="AX48" s="1046">
        <f>'ДПО(Финансы)'!$S48</f>
        <v>77300</v>
      </c>
      <c r="AY48" s="1046">
        <f>'ИДО(Финансы)'!$S48</f>
        <v>0</v>
      </c>
      <c r="AZ48" s="1049" t="e">
        <f t="shared" si="0"/>
        <v>#DIV/0!</v>
      </c>
      <c r="BA48" s="1515">
        <f t="array" ref="BA48">IF(($E48="да"),IF($AX48=0,"нет",$AV48/$AX48*100-100),"нет")</f>
        <v>-37.451487710219922</v>
      </c>
      <c r="BB48" s="1516">
        <f t="array" ref="BB48">IF(($E48="да"),IF($AX48=0,"нет",$AV48/$AX48*100),"нет")</f>
        <v>62.548512289780078</v>
      </c>
      <c r="BC48" s="1517">
        <f t="shared" si="1"/>
        <v>87.909090909090921</v>
      </c>
      <c r="BD48" s="1517" t="e">
        <f t="array" ref="BD48">IF(($E48="да"),IF($AZ48&gt;$AZ$17,$AZ48/$AZ$16*BD$16,нет),нет)</f>
        <v>#DIV/0!</v>
      </c>
      <c r="BE48" s="1045">
        <f>'ИДО(Финансы)'!$R48</f>
        <v>0</v>
      </c>
      <c r="BF48" s="1046">
        <f>'ИДО(Финансы)'!D48</f>
        <v>0</v>
      </c>
      <c r="BG48" s="1047" t="str">
        <f t="shared" si="29"/>
        <v>нет</v>
      </c>
      <c r="BH48" s="1514" t="str">
        <f t="shared" si="30"/>
        <v>нет</v>
      </c>
      <c r="BI48" s="1518">
        <f t="array" ref="BI48">IF(($E48="да")+($F48="да"),IF((BF48+AS48)=0,"нет",(AR48+BE48)/(BF48+AS48)*100),"нет")</f>
        <v>87.909090909090921</v>
      </c>
      <c r="BJ48" s="1051">
        <f>Кадры!$I48</f>
        <v>0</v>
      </c>
      <c r="BK48" s="1048">
        <f>Кадры!$O48</f>
        <v>0</v>
      </c>
      <c r="BL48" s="943">
        <f>Кадры!$K48</f>
        <v>0</v>
      </c>
      <c r="BM48" s="1052" t="str">
        <f t="array" ref="BM48">IF(BL48=0,"нет",BK48/BL48*100)</f>
        <v>нет</v>
      </c>
      <c r="BN48" s="1038">
        <f>Кадры!E48</f>
        <v>0</v>
      </c>
      <c r="BO48" s="943">
        <f>Кадры!$K48</f>
        <v>0</v>
      </c>
      <c r="BP48" s="1050" t="str">
        <f t="shared" si="31"/>
        <v>нет</v>
      </c>
      <c r="BQ48" s="342" t="e">
        <f t="shared" si="32"/>
        <v>#DIV/0!</v>
      </c>
      <c r="BR48" s="1048">
        <f>Кадры!$L48</f>
        <v>0</v>
      </c>
      <c r="BS48" s="1543">
        <f>Кадры!$J48</f>
        <v>0</v>
      </c>
      <c r="BT48" s="1050">
        <f t="shared" si="33"/>
        <v>0</v>
      </c>
      <c r="BU48" s="934">
        <f t="shared" si="34"/>
        <v>100</v>
      </c>
      <c r="BV48" s="1038">
        <f>Кадры!$D48</f>
        <v>0</v>
      </c>
      <c r="BW48" s="1036">
        <f>Кадры!$F48</f>
        <v>0</v>
      </c>
      <c r="BX48" s="934" t="e">
        <f t="shared" si="35"/>
        <v>#DIV/0!</v>
      </c>
      <c r="BY48" s="1048">
        <f>Кадры!$P48</f>
        <v>0</v>
      </c>
      <c r="BZ48" s="943">
        <f>Кадры!$L48</f>
        <v>0</v>
      </c>
      <c r="CA48" s="1033" t="str">
        <f t="shared" si="36"/>
        <v>нет</v>
      </c>
      <c r="CB48" s="215"/>
      <c r="CC48" s="577" t="s">
        <v>108</v>
      </c>
      <c r="CD48" s="1053"/>
      <c r="CE48" s="1054"/>
      <c r="CG48" s="1056" t="e">
        <f t="array" ref="CG48">SUM(IF($F48:$CA48=нет,0,IF($F48:$CA48&gt;=$F$16:$CA$16,$F$16:$CA$16,IF($F48:$CA48&lt;$F$17:$CA$17,0,$F48:$CA48)))*$F$11:$CA$11*($F$104:$CA$104=CG$4)/$F$16:$CA$16*($F$106:$CA$115*($B$106:$B$115=$B48)*($A$106:$A$115=$A$104)))</f>
        <v>#DIV/0!</v>
      </c>
      <c r="CH48" s="1056" t="e">
        <f t="array" ref="CH48">SUM(IF($F48:$CA48=нет,0,IF($F48:$CA48&gt;=$F$16:$CA$16,$F$16:$CA$16,IF($F48:$CA48&lt;$F$17:$CA$17,0,$F48:$CA48)))*$F$11:$CA$11*($F$104:$CA$104=CH$4)/$F$16:$CA$16*($F$106:$CA$115*($B$106:$B$115=$B48)*($A$106:$A$115=$A$104)))</f>
        <v>#DIV/0!</v>
      </c>
      <c r="CI48" s="1056" t="e">
        <f t="array" ref="CI48">SUM(IF($F48:$CA48=нет,0,IF($F48:$CA48&gt;=$F$16:$CA$16,$F$16:$CA$16,IF($F48:$CA48&lt;$F$17:$CA$17,0,$F48:$CA48)))*$F$11:$CA$11*($F$105:$CA$105=CI$4)/$F$16:$CA$16*($F$106:$CA$115*($B$106:$B$115=$B48)*($A$106:$A$115=$A$104)))</f>
        <v>#DIV/0!</v>
      </c>
      <c r="CJ48" s="1072" t="e">
        <f>'НУ(ВИД3)'!D49</f>
        <v>#DIV/0!</v>
      </c>
      <c r="CK48" s="1056" t="e">
        <f t="array" ref="CK48">SUM(IF($F48:$CA48=нет,0,IF($F48:$CA48&gt;=$F$16:$CA$16,$F$16:$CA$16,IF($F48:$CA48&lt;$F$17:$CA$17,0,$F48:$CA48)))*$F$11:$CA$11*($F$104:$CA$104=CK$4)/$F$16:$CA$16*($F$106:$CA$115*($B$106:$B$115=$B48)*($A$106:$A$115=$A$104)))</f>
        <v>#DIV/0!</v>
      </c>
      <c r="CL48" s="1056" t="e">
        <f t="array" ref="CL48">SUM(IF($F48:$CA48=нет,0,IF($F48:$CA48&gt;=$F$16:$CA$16,$F$16:$CA$16,IF($F48:$CA48&lt;$F$17:$CA$17,0,$F48:$CA48)))*$F$11:$CA$11*($F$104:$CA$104=CL$4)/$F$16:$CA$16*($F$106:$CA$115*($B$106:$B$115=$B48)*($A$106:$A$115=$A$104)))</f>
        <v>#DIV/0!</v>
      </c>
      <c r="CM48" s="1056" t="e">
        <f t="array" ref="CM48">SUM(IF($F48:$CA48=нет,0,IF($F48:$CA48&gt;=$F$16:$CA$16,$F$16:$CA$16,IF($F48:$CA48&lt;$F$17:$CA$17,0,$F48:$CA48)))*$F$11:$CA$11*($F$104:$CA$104=CM$4)/$F$16:$CA$16*($F$106:$CA$115*($B$106:$B$115=$B48)*($A$106:$A$115=$A$104)))</f>
        <v>#DIV/0!</v>
      </c>
      <c r="CO48" s="1057" t="e">
        <f t="array" ref="CO48">SUM(IF($F48:$CA48=нет,0,100)*$F$11:$CA$11*($F$104:$CA$104=CO$4)/100*($F$106:$CA$115*($B$106:$B$115=$B48)*($A$106:$A$115=$A$104)))</f>
        <v>#DIV/0!</v>
      </c>
      <c r="CP48" s="1057" t="e">
        <f t="array" ref="CP48">SUM(IF($F48:$CA48=нет,0,100)*$F$11:$CA$11*($F$104:$CA$104=CP$4)/100*($F$106:$CA$115*($B$106:$B$115=$B48)*($A$106:$A$115=$A$104)))</f>
        <v>#DIV/0!</v>
      </c>
      <c r="CQ48" s="1057" t="e">
        <f t="array" ref="CQ48">SUM(IF($F48:$CA48=нет,0,100)*$F$11:$CA$11*($F$105:$CA$105=CQ$4)/100*($F$106:$CA$115*($B$106:$B$115=$B48)*($A$106:$A$115=$A$104)))</f>
        <v>#DIV/0!</v>
      </c>
      <c r="CR48" s="1057">
        <f>'НУ(ВИД3)'!E49</f>
        <v>21</v>
      </c>
      <c r="CS48" s="1057" t="e">
        <f t="array" ref="CS48">SUM(IF($F48:$CA48=нет,0,100)*$F$11:$CA$11*($F$104:$CA$104=CS$4)/100*($F$106:$CA$115*($B$106:$B$115=$B48)*($A$106:$A$115=$A$104)))</f>
        <v>#DIV/0!</v>
      </c>
      <c r="CT48" s="1057" t="e">
        <f t="array" ref="CT48">SUM(IF($F48:$CA48=нет,0,100)*$F$11:$CA$11*($F$104:$CA$104=CT$4)/100*($F$106:$CA$115*($B$106:$B$115=$B48)*($A$106:$A$115=$A$104)))</f>
        <v>#DIV/0!</v>
      </c>
      <c r="CU48" s="1057" t="e">
        <f t="array" ref="CU48">SUM(IF($F48:$CA48=нет,0,100)*$F$11:$CA$11*($F$104:$CA$104=CU$4)/100*($F$106:$CA$115*($B$106:$B$115=$B48)*($A$106:$A$115=$A$104)))</f>
        <v>#DIV/0!</v>
      </c>
      <c r="CW48" s="1059" t="e">
        <f>SUM(CG48:CH48,CJ48:CM48,'Реестр ППС'!#REF!,' "Вуз зож"'!S48)</f>
        <v>#REF!</v>
      </c>
      <c r="CX48" s="1059" t="e">
        <f>SUM(CO48:CP48,CR48:CU48,'Реестр ППС'!#REF!,' "Вуз зож"'!T48)</f>
        <v>#REF!</v>
      </c>
      <c r="CY48" s="1058" t="e">
        <f t="shared" si="10"/>
        <v>#REF!</v>
      </c>
      <c r="DA48" s="1060" t="e">
        <f>SUM(CI48:CK48,CM48,'Реестр ППС'!#REF!,' "Вуз зож"'!S48)</f>
        <v>#REF!</v>
      </c>
      <c r="DB48" s="1060" t="e">
        <f>SUM(CQ48:CS48,CU48,'Реестр ППС'!#REF!,' "Вуз зож"'!T48)</f>
        <v>#REF!</v>
      </c>
      <c r="DC48" s="1058" t="e">
        <f t="shared" si="37"/>
        <v>#REF!</v>
      </c>
      <c r="DD48" s="1054"/>
      <c r="DE48" s="1061" t="e">
        <f t="shared" si="43"/>
        <v>#DIV/0!</v>
      </c>
      <c r="DF48" s="1061" t="e">
        <f t="shared" si="44"/>
        <v>#DIV/0!</v>
      </c>
      <c r="DG48" s="1061" t="e">
        <f t="shared" si="45"/>
        <v>#DIV/0!</v>
      </c>
      <c r="DH48" s="1061" t="e">
        <f t="shared" si="46"/>
        <v>#DIV/0!</v>
      </c>
      <c r="DI48" s="1061" t="e">
        <f t="shared" si="47"/>
        <v>#DIV/0!</v>
      </c>
      <c r="DJ48" s="1061" t="e">
        <f t="shared" si="48"/>
        <v>#DIV/0!</v>
      </c>
      <c r="DK48" s="1061" t="e">
        <f t="shared" si="49"/>
        <v>#DIV/0!</v>
      </c>
      <c r="DL48" s="1062" t="str">
        <f t="shared" si="4"/>
        <v>Ортопедической стоматологии</v>
      </c>
      <c r="DM48" s="1055" t="str">
        <f t="shared" si="18"/>
        <v>СТОМ</v>
      </c>
      <c r="DN48" s="1504" t="e">
        <f t="shared" si="38"/>
        <v>#REF!</v>
      </c>
      <c r="DO48" s="338"/>
      <c r="DP48" s="338"/>
      <c r="DQ48" s="338"/>
      <c r="DR48" s="318"/>
      <c r="DS48" s="318"/>
      <c r="DT48" s="318"/>
      <c r="DU48" s="318"/>
      <c r="DV48" s="318"/>
      <c r="DW48" s="318"/>
      <c r="DX48" s="318"/>
    </row>
    <row r="49" spans="1:128" s="215" customFormat="1" ht="15.75" thickBot="1" x14ac:dyDescent="0.25">
      <c r="A49" s="550" t="s">
        <v>105</v>
      </c>
      <c r="B49" s="340" t="s">
        <v>7</v>
      </c>
      <c r="C49" s="482">
        <f>Кадры!C49</f>
        <v>0</v>
      </c>
      <c r="D49" s="485" t="str">
        <f t="shared" si="19"/>
        <v>СТОМ</v>
      </c>
      <c r="E49" s="341" t="s">
        <v>16</v>
      </c>
      <c r="F49" s="341" t="s">
        <v>31</v>
      </c>
      <c r="G49" s="909"/>
      <c r="H49" s="817">
        <f t="shared" si="5"/>
        <v>100</v>
      </c>
      <c r="I49" s="1748"/>
      <c r="J49" s="860">
        <f t="shared" si="6"/>
        <v>100</v>
      </c>
      <c r="K49" s="920">
        <f>МероприятияВуза!$AR49+МероприятияВуза!$AQ49</f>
        <v>0</v>
      </c>
      <c r="L49" s="919">
        <f>МероприятияВуза!$G49+МероприятияВуза!$H49</f>
        <v>0</v>
      </c>
      <c r="M49" s="925" t="str">
        <f t="shared" si="20"/>
        <v>нет</v>
      </c>
      <c r="N49" s="923">
        <f>МероприятияВуза!$AS49</f>
        <v>0</v>
      </c>
      <c r="O49" s="919">
        <f>МероприятияВуза!$I49+МероприятияВуза!$J49</f>
        <v>0</v>
      </c>
      <c r="P49" s="925" t="str">
        <f t="shared" si="21"/>
        <v>нет</v>
      </c>
      <c r="Q49" s="1844"/>
      <c r="R49" s="817">
        <f t="shared" si="22"/>
        <v>100</v>
      </c>
      <c r="S49" s="1847"/>
      <c r="T49" s="1848"/>
      <c r="U49" s="844" t="str">
        <f t="shared" si="23"/>
        <v>нет</v>
      </c>
      <c r="V49" s="904"/>
      <c r="W49" s="909"/>
      <c r="X49" s="844" t="str">
        <f t="shared" si="7"/>
        <v>нет</v>
      </c>
      <c r="Y49" s="1857"/>
      <c r="Z49" s="1858"/>
      <c r="AA49" s="844" t="str">
        <f t="shared" si="8"/>
        <v>нет</v>
      </c>
      <c r="AB49" s="1748"/>
      <c r="AC49" s="909"/>
      <c r="AD49" s="912" t="str">
        <f t="shared" si="24"/>
        <v>нет</v>
      </c>
      <c r="AE49" s="947"/>
      <c r="AF49" s="949"/>
      <c r="AG49" s="844" t="str">
        <f t="shared" si="9"/>
        <v>нет</v>
      </c>
      <c r="AH49" s="951"/>
      <c r="AI49" s="949"/>
      <c r="AJ49" s="844" t="str">
        <f t="shared" si="25"/>
        <v>нет</v>
      </c>
      <c r="AK49" s="935">
        <f>ПрофРабота!$Q49</f>
        <v>0</v>
      </c>
      <c r="AL49" s="485">
        <f>ПрофРабота!$R49</f>
        <v>0</v>
      </c>
      <c r="AM49" s="485">
        <f>ПрофРабота!$S49</f>
        <v>0</v>
      </c>
      <c r="AN49" s="817">
        <f>ПрофРабота!$C49</f>
        <v>0</v>
      </c>
      <c r="AO49" s="923">
        <f>МероприятияВуза!$AT49</f>
        <v>0</v>
      </c>
      <c r="AP49" s="919">
        <f>МероприятияВуза!$K49</f>
        <v>0</v>
      </c>
      <c r="AQ49" s="817" t="str">
        <f t="shared" si="26"/>
        <v>нет</v>
      </c>
      <c r="AR49" s="938">
        <f>'ДПО(Финансы)'!$R49</f>
        <v>86340</v>
      </c>
      <c r="AS49" s="939">
        <f>'ДПО(Финансы)'!$D49</f>
        <v>18000</v>
      </c>
      <c r="AT49" s="510" t="e">
        <f t="shared" si="27"/>
        <v>#DIV/0!</v>
      </c>
      <c r="AU49" s="1519">
        <f t="shared" si="28"/>
        <v>479.66666666666669</v>
      </c>
      <c r="AV49" s="938">
        <f>'ДПО(Финансы)'!$R49</f>
        <v>86340</v>
      </c>
      <c r="AW49" s="939">
        <f>'ИДО(Финансы)'!$R49</f>
        <v>0</v>
      </c>
      <c r="AX49" s="939">
        <f>'ДПО(Финансы)'!$S49</f>
        <v>153400</v>
      </c>
      <c r="AY49" s="939">
        <f>'ИДО(Финансы)'!$S49</f>
        <v>0</v>
      </c>
      <c r="AZ49" s="839" t="e">
        <f t="shared" si="0"/>
        <v>#DIV/0!</v>
      </c>
      <c r="BA49" s="1520">
        <f t="array" ref="BA49">IF(($E49="да"),IF($AX49=0,"нет",$AV49/$AX49*100-100),"нет")</f>
        <v>-43.715775749674059</v>
      </c>
      <c r="BB49" s="1521">
        <f t="array" ref="BB49">IF(($E49="да"),IF($AX49=0,"нет",$AV49/$AX49*100),"нет")</f>
        <v>56.284224250325941</v>
      </c>
      <c r="BC49" s="1522">
        <f t="shared" si="1"/>
        <v>479.66666666666669</v>
      </c>
      <c r="BD49" s="1522" t="e">
        <f t="array" ref="BD49">IF(($E49="да"),IF($AZ49&gt;$AZ$17,$AZ49/$AZ$16*BD$16,нет),нет)</f>
        <v>#DIV/0!</v>
      </c>
      <c r="BE49" s="938">
        <f>'ИДО(Финансы)'!$R49</f>
        <v>0</v>
      </c>
      <c r="BF49" s="939">
        <f>'ИДО(Финансы)'!D49</f>
        <v>0</v>
      </c>
      <c r="BG49" s="510" t="str">
        <f t="shared" si="29"/>
        <v>нет</v>
      </c>
      <c r="BH49" s="1519" t="str">
        <f t="shared" si="30"/>
        <v>нет</v>
      </c>
      <c r="BI49" s="1523">
        <f t="array" ref="BI49">IF(($E49="да")+($F49="да"),IF((BF49+AS49)=0,"нет",(AR49+BE49)/(BF49+AS49)*100),"нет")</f>
        <v>479.66666666666669</v>
      </c>
      <c r="BJ49" s="829">
        <f>Кадры!$I49</f>
        <v>0</v>
      </c>
      <c r="BK49" s="940">
        <f>Кадры!$O49</f>
        <v>0</v>
      </c>
      <c r="BL49" s="941">
        <f>Кадры!$K49</f>
        <v>0</v>
      </c>
      <c r="BM49" s="821" t="str">
        <f t="array" ref="BM49">IF(BL49=0,"нет",BK49/BL49*100)</f>
        <v>нет</v>
      </c>
      <c r="BN49" s="923">
        <f>Кадры!E49</f>
        <v>0</v>
      </c>
      <c r="BO49" s="941">
        <f>Кадры!$K49</f>
        <v>0</v>
      </c>
      <c r="BP49" s="343" t="str">
        <f t="shared" si="31"/>
        <v>нет</v>
      </c>
      <c r="BQ49" s="342" t="e">
        <f t="shared" si="32"/>
        <v>#DIV/0!</v>
      </c>
      <c r="BR49" s="940">
        <f>Кадры!$L49</f>
        <v>0</v>
      </c>
      <c r="BS49" s="1544">
        <f>Кадры!$J49</f>
        <v>0</v>
      </c>
      <c r="BT49" s="343">
        <f t="shared" si="33"/>
        <v>0</v>
      </c>
      <c r="BU49" s="817">
        <f t="shared" si="34"/>
        <v>100</v>
      </c>
      <c r="BV49" s="923">
        <f>Кадры!$D49</f>
        <v>0</v>
      </c>
      <c r="BW49" s="919">
        <f>Кадры!$F49</f>
        <v>0</v>
      </c>
      <c r="BX49" s="817" t="e">
        <f t="shared" si="35"/>
        <v>#DIV/0!</v>
      </c>
      <c r="BY49" s="940">
        <f>Кадры!$P49</f>
        <v>0</v>
      </c>
      <c r="BZ49" s="941">
        <f>Кадры!$L49</f>
        <v>0</v>
      </c>
      <c r="CA49" s="342" t="str">
        <f t="shared" si="36"/>
        <v>нет</v>
      </c>
      <c r="CC49" s="485" t="s">
        <v>108</v>
      </c>
      <c r="CD49" s="268"/>
      <c r="CE49" s="961"/>
      <c r="CG49" s="335" t="e">
        <f t="array" ref="CG49">SUM(IF($F49:$CA49=нет,0,IF($F49:$CA49&gt;=$F$16:$CA$16,$F$16:$CA$16,IF($F49:$CA49&lt;$F$17:$CA$17,0,$F49:$CA49)))*$F$11:$CA$11*($F$104:$CA$104=CG$4)/$F$16:$CA$16*($F$106:$CA$115*($B$106:$B$115=$B49)*($A$106:$A$115=$A$104)))</f>
        <v>#DIV/0!</v>
      </c>
      <c r="CH49" s="335" t="e">
        <f t="array" ref="CH49">SUM(IF($F49:$CA49=нет,0,IF($F49:$CA49&gt;=$F$16:$CA$16,$F$16:$CA$16,IF($F49:$CA49&lt;$F$17:$CA$17,0,$F49:$CA49)))*$F$11:$CA$11*($F$104:$CA$104=CH$4)/$F$16:$CA$16*($F$106:$CA$115*($B$106:$B$115=$B49)*($A$106:$A$115=$A$104)))</f>
        <v>#DIV/0!</v>
      </c>
      <c r="CI49" s="335" t="e">
        <f t="array" ref="CI49">SUM(IF($F49:$CA49=нет,0,IF($F49:$CA49&gt;=$F$16:$CA$16,$F$16:$CA$16,IF($F49:$CA49&lt;$F$17:$CA$17,0,$F49:$CA49)))*$F$11:$CA$11*($F$105:$CA$105=CI$4)/$F$16:$CA$16*($F$106:$CA$115*($B$106:$B$115=$B49)*($A$106:$A$115=$A$104)))</f>
        <v>#DIV/0!</v>
      </c>
      <c r="CJ49" s="1072" t="e">
        <f>'НУ(ВИД3)'!D50</f>
        <v>#DIV/0!</v>
      </c>
      <c r="CK49" s="335" t="e">
        <f t="array" ref="CK49">SUM(IF($F49:$CA49=нет,0,IF($F49:$CA49&gt;=$F$16:$CA$16,$F$16:$CA$16,IF($F49:$CA49&lt;$F$17:$CA$17,0,$F49:$CA49)))*$F$11:$CA$11*($F$104:$CA$104=CK$4)/$F$16:$CA$16*($F$106:$CA$115*($B$106:$B$115=$B49)*($A$106:$A$115=$A$104)))</f>
        <v>#DIV/0!</v>
      </c>
      <c r="CL49" s="335" t="e">
        <f t="array" ref="CL49">SUM(IF($F49:$CA49=нет,0,IF($F49:$CA49&gt;=$F$16:$CA$16,$F$16:$CA$16,IF($F49:$CA49&lt;$F$17:$CA$17,0,$F49:$CA49)))*$F$11:$CA$11*($F$104:$CA$104=CL$4)/$F$16:$CA$16*($F$106:$CA$115*($B$106:$B$115=$B49)*($A$106:$A$115=$A$104)))</f>
        <v>#DIV/0!</v>
      </c>
      <c r="CM49" s="335" t="e">
        <f t="array" ref="CM49">SUM(IF($F49:$CA49=нет,0,IF($F49:$CA49&gt;=$F$16:$CA$16,$F$16:$CA$16,IF($F49:$CA49&lt;$F$17:$CA$17,0,$F49:$CA49)))*$F$11:$CA$11*($F$104:$CA$104=CM$4)/$F$16:$CA$16*($F$106:$CA$115*($B$106:$B$115=$B49)*($A$106:$A$115=$A$104)))</f>
        <v>#DIV/0!</v>
      </c>
      <c r="CO49" s="1000" t="e">
        <f t="array" ref="CO49">SUM(IF($F49:$CA49=нет,0,100)*$F$11:$CA$11*($F$104:$CA$104=CO$4)/100*($F$106:$CA$115*($B$106:$B$115=$B49)*($A$106:$A$115=$A$104)))</f>
        <v>#DIV/0!</v>
      </c>
      <c r="CP49" s="1000" t="e">
        <f t="array" ref="CP49">SUM(IF($F49:$CA49=нет,0,100)*$F$11:$CA$11*($F$104:$CA$104=CP$4)/100*($F$106:$CA$115*($B$106:$B$115=$B49)*($A$106:$A$115=$A$104)))</f>
        <v>#DIV/0!</v>
      </c>
      <c r="CQ49" s="1000" t="e">
        <f t="array" ref="CQ49">SUM(IF($F49:$CA49=нет,0,100)*$F$11:$CA$11*($F$105:$CA$105=CQ$4)/100*($F$106:$CA$115*($B$106:$B$115=$B49)*($A$106:$A$115=$A$104)))</f>
        <v>#DIV/0!</v>
      </c>
      <c r="CR49" s="1057">
        <f>'НУ(ВИД3)'!E50</f>
        <v>21</v>
      </c>
      <c r="CS49" s="1000" t="e">
        <f t="array" ref="CS49">SUM(IF($F49:$CA49=нет,0,100)*$F$11:$CA$11*($F$104:$CA$104=CS$4)/100*($F$106:$CA$115*($B$106:$B$115=$B49)*($A$106:$A$115=$A$104)))</f>
        <v>#DIV/0!</v>
      </c>
      <c r="CT49" s="1000" t="e">
        <f t="array" ref="CT49">SUM(IF($F49:$CA49=нет,0,100)*$F$11:$CA$11*($F$104:$CA$104=CT$4)/100*($F$106:$CA$115*($B$106:$B$115=$B49)*($A$106:$A$115=$A$104)))</f>
        <v>#DIV/0!</v>
      </c>
      <c r="CU49" s="1000" t="e">
        <f t="array" ref="CU49">SUM(IF($F49:$CA49=нет,0,100)*$F$11:$CA$11*($F$104:$CA$104=CU$4)/100*($F$106:$CA$115*($B$106:$B$115=$B49)*($A$106:$A$115=$A$104)))</f>
        <v>#DIV/0!</v>
      </c>
      <c r="CW49" s="333" t="e">
        <f>SUM(CG49:CH49,CJ49:CM49,'Реестр ППС'!#REF!,' "Вуз зож"'!S49)</f>
        <v>#REF!</v>
      </c>
      <c r="CX49" s="333" t="e">
        <f>SUM(CO49:CP49,CR49:CU49,'Реестр ППС'!#REF!,' "Вуз зож"'!T49)</f>
        <v>#REF!</v>
      </c>
      <c r="CY49" s="332" t="e">
        <f t="shared" si="10"/>
        <v>#REF!</v>
      </c>
      <c r="DA49" s="336" t="e">
        <f>SUM(CI49:CK49,CM49,'Реестр ППС'!#REF!,' "Вуз зож"'!S49)</f>
        <v>#REF!</v>
      </c>
      <c r="DB49" s="336" t="e">
        <f>SUM(CQ49:CS49,CU49,'Реестр ППС'!#REF!,' "Вуз зож"'!T49)</f>
        <v>#REF!</v>
      </c>
      <c r="DC49" s="332" t="e">
        <f t="shared" si="37"/>
        <v>#REF!</v>
      </c>
      <c r="DD49" s="961"/>
      <c r="DE49" s="337" t="e">
        <f t="shared" si="43"/>
        <v>#DIV/0!</v>
      </c>
      <c r="DF49" s="337" t="e">
        <f t="shared" si="44"/>
        <v>#DIV/0!</v>
      </c>
      <c r="DG49" s="337" t="e">
        <f t="shared" si="45"/>
        <v>#DIV/0!</v>
      </c>
      <c r="DH49" s="337" t="e">
        <f t="shared" si="46"/>
        <v>#DIV/0!</v>
      </c>
      <c r="DI49" s="337" t="e">
        <f t="shared" si="47"/>
        <v>#DIV/0!</v>
      </c>
      <c r="DJ49" s="337" t="e">
        <f t="shared" si="48"/>
        <v>#DIV/0!</v>
      </c>
      <c r="DK49" s="337" t="e">
        <f t="shared" si="49"/>
        <v>#DIV/0!</v>
      </c>
      <c r="DL49" s="334" t="str">
        <f t="shared" si="4"/>
        <v>Стоматологии детского возраста</v>
      </c>
      <c r="DM49" s="215" t="str">
        <f t="shared" si="18"/>
        <v>СТОМ</v>
      </c>
      <c r="DN49" s="1505" t="e">
        <f t="shared" si="38"/>
        <v>#REF!</v>
      </c>
      <c r="DO49" s="338"/>
      <c r="DP49" s="338"/>
      <c r="DQ49" s="338"/>
      <c r="DR49" s="318"/>
      <c r="DS49" s="318"/>
      <c r="DT49" s="318"/>
      <c r="DU49" s="318"/>
      <c r="DV49" s="318"/>
      <c r="DW49" s="318"/>
      <c r="DX49" s="318"/>
    </row>
    <row r="50" spans="1:128" s="215" customFormat="1" ht="15.75" thickBot="1" x14ac:dyDescent="0.25">
      <c r="A50" s="550" t="s">
        <v>103</v>
      </c>
      <c r="B50" s="340" t="s">
        <v>7</v>
      </c>
      <c r="C50" s="482">
        <f>Кадры!C50</f>
        <v>0</v>
      </c>
      <c r="D50" s="485" t="str">
        <f t="shared" si="19"/>
        <v>СТОМ</v>
      </c>
      <c r="E50" s="341" t="s">
        <v>16</v>
      </c>
      <c r="F50" s="341" t="s">
        <v>31</v>
      </c>
      <c r="G50" s="909"/>
      <c r="H50" s="817">
        <f t="shared" si="5"/>
        <v>100</v>
      </c>
      <c r="I50" s="1748"/>
      <c r="J50" s="860">
        <f t="shared" si="6"/>
        <v>100</v>
      </c>
      <c r="K50" s="920">
        <f>МероприятияВуза!$AR50+МероприятияВуза!$AQ50</f>
        <v>0</v>
      </c>
      <c r="L50" s="919">
        <f>МероприятияВуза!$G50+МероприятияВуза!$H50</f>
        <v>0</v>
      </c>
      <c r="M50" s="925" t="str">
        <f t="shared" si="20"/>
        <v>нет</v>
      </c>
      <c r="N50" s="923">
        <f>МероприятияВуза!$AS50</f>
        <v>0</v>
      </c>
      <c r="O50" s="919">
        <f>МероприятияВуза!$I50+МероприятияВуза!$J50</f>
        <v>0</v>
      </c>
      <c r="P50" s="925" t="str">
        <f t="shared" si="21"/>
        <v>нет</v>
      </c>
      <c r="Q50" s="1844"/>
      <c r="R50" s="817">
        <f t="shared" si="22"/>
        <v>100</v>
      </c>
      <c r="S50" s="1847"/>
      <c r="T50" s="1848"/>
      <c r="U50" s="844" t="str">
        <f t="shared" si="23"/>
        <v>нет</v>
      </c>
      <c r="V50" s="904"/>
      <c r="W50" s="909"/>
      <c r="X50" s="844" t="str">
        <f t="shared" si="7"/>
        <v>нет</v>
      </c>
      <c r="Y50" s="1857"/>
      <c r="Z50" s="1858"/>
      <c r="AA50" s="844" t="str">
        <f t="shared" si="8"/>
        <v>нет</v>
      </c>
      <c r="AB50" s="1748"/>
      <c r="AC50" s="909"/>
      <c r="AD50" s="912" t="str">
        <f t="shared" si="24"/>
        <v>нет</v>
      </c>
      <c r="AE50" s="947"/>
      <c r="AF50" s="949"/>
      <c r="AG50" s="844" t="str">
        <f t="shared" si="9"/>
        <v>нет</v>
      </c>
      <c r="AH50" s="951"/>
      <c r="AI50" s="949"/>
      <c r="AJ50" s="844" t="str">
        <f t="shared" si="25"/>
        <v>нет</v>
      </c>
      <c r="AK50" s="935">
        <f>ПрофРабота!$Q50</f>
        <v>0</v>
      </c>
      <c r="AL50" s="485">
        <f>ПрофРабота!$R50</f>
        <v>0</v>
      </c>
      <c r="AM50" s="485">
        <f>ПрофРабота!$S50</f>
        <v>0</v>
      </c>
      <c r="AN50" s="817">
        <f>ПрофРабота!$C50</f>
        <v>0</v>
      </c>
      <c r="AO50" s="923">
        <f>МероприятияВуза!$AT50</f>
        <v>0</v>
      </c>
      <c r="AP50" s="919">
        <f>МероприятияВуза!$K50</f>
        <v>0</v>
      </c>
      <c r="AQ50" s="817" t="str">
        <f t="shared" si="26"/>
        <v>нет</v>
      </c>
      <c r="AR50" s="938">
        <f>'ДПО(Финансы)'!$R50</f>
        <v>88910</v>
      </c>
      <c r="AS50" s="939">
        <f>'ДПО(Финансы)'!$D50</f>
        <v>80000</v>
      </c>
      <c r="AT50" s="510" t="e">
        <f t="shared" si="27"/>
        <v>#DIV/0!</v>
      </c>
      <c r="AU50" s="1519">
        <f t="shared" si="28"/>
        <v>111.1375</v>
      </c>
      <c r="AV50" s="938">
        <f>'ДПО(Финансы)'!$R50</f>
        <v>88910</v>
      </c>
      <c r="AW50" s="939">
        <f>'ИДО(Финансы)'!$R50</f>
        <v>0</v>
      </c>
      <c r="AX50" s="939">
        <f>'ДПО(Финансы)'!$S50</f>
        <v>149350</v>
      </c>
      <c r="AY50" s="939">
        <f>'ИДО(Финансы)'!$S50</f>
        <v>0</v>
      </c>
      <c r="AZ50" s="839" t="e">
        <f t="shared" si="0"/>
        <v>#DIV/0!</v>
      </c>
      <c r="BA50" s="1520">
        <f t="array" ref="BA50">IF(($E50="да"),IF($AX50=0,"нет",$AV50/$AX50*100-100),"нет")</f>
        <v>-40.468697689989952</v>
      </c>
      <c r="BB50" s="1521">
        <f t="array" ref="BB50">IF(($E50="да"),IF($AX50=0,"нет",$AV50/$AX50*100),"нет")</f>
        <v>59.531302310010048</v>
      </c>
      <c r="BC50" s="1522">
        <f t="shared" si="1"/>
        <v>111.1375</v>
      </c>
      <c r="BD50" s="1522" t="e">
        <f t="array" ref="BD50">IF(($E50="да"),IF($AZ50&gt;$AZ$17,$AZ50/$AZ$16*BD$16,нет),нет)</f>
        <v>#DIV/0!</v>
      </c>
      <c r="BE50" s="938">
        <f>'ИДО(Финансы)'!$R50</f>
        <v>0</v>
      </c>
      <c r="BF50" s="939">
        <f>'ИДО(Финансы)'!D50</f>
        <v>0</v>
      </c>
      <c r="BG50" s="510" t="str">
        <f t="shared" si="29"/>
        <v>нет</v>
      </c>
      <c r="BH50" s="1519" t="str">
        <f t="shared" si="30"/>
        <v>нет</v>
      </c>
      <c r="BI50" s="1523">
        <f t="array" ref="BI50">IF(($E50="да")+($F50="да"),IF((BF50+AS50)=0,"нет",(AR50+BE50)/(BF50+AS50)*100),"нет")</f>
        <v>111.1375</v>
      </c>
      <c r="BJ50" s="829">
        <f>Кадры!$I50</f>
        <v>0</v>
      </c>
      <c r="BK50" s="940">
        <f>Кадры!$O50</f>
        <v>0</v>
      </c>
      <c r="BL50" s="941">
        <f>Кадры!$K50</f>
        <v>0</v>
      </c>
      <c r="BM50" s="821" t="str">
        <f t="array" ref="BM50">IF(BL50=0,"нет",BK50/BL50*100)</f>
        <v>нет</v>
      </c>
      <c r="BN50" s="923">
        <f>Кадры!E50</f>
        <v>0</v>
      </c>
      <c r="BO50" s="941">
        <f>Кадры!$K50</f>
        <v>0</v>
      </c>
      <c r="BP50" s="343" t="str">
        <f t="shared" si="31"/>
        <v>нет</v>
      </c>
      <c r="BQ50" s="342" t="e">
        <f t="shared" si="32"/>
        <v>#DIV/0!</v>
      </c>
      <c r="BR50" s="940">
        <f>Кадры!$L50</f>
        <v>0</v>
      </c>
      <c r="BS50" s="1544">
        <f>Кадры!$J50</f>
        <v>0</v>
      </c>
      <c r="BT50" s="343">
        <f t="shared" si="33"/>
        <v>0</v>
      </c>
      <c r="BU50" s="817">
        <f t="shared" si="34"/>
        <v>100</v>
      </c>
      <c r="BV50" s="923">
        <f>Кадры!$D50</f>
        <v>0</v>
      </c>
      <c r="BW50" s="919">
        <f>Кадры!$F50</f>
        <v>0</v>
      </c>
      <c r="BX50" s="817" t="e">
        <f t="shared" si="35"/>
        <v>#DIV/0!</v>
      </c>
      <c r="BY50" s="940">
        <f>Кадры!$P50</f>
        <v>0</v>
      </c>
      <c r="BZ50" s="941">
        <f>Кадры!$L50</f>
        <v>0</v>
      </c>
      <c r="CA50" s="342" t="str">
        <f t="shared" si="36"/>
        <v>нет</v>
      </c>
      <c r="CC50" s="485" t="s">
        <v>108</v>
      </c>
      <c r="CD50" s="268"/>
      <c r="CE50" s="961"/>
      <c r="CG50" s="335" t="e">
        <f t="array" ref="CG50">SUM(IF($F50:$CA50=нет,0,IF($F50:$CA50&gt;=$F$16:$CA$16,$F$16:$CA$16,IF($F50:$CA50&lt;$F$17:$CA$17,0,$F50:$CA50)))*$F$11:$CA$11*($F$104:$CA$104=CG$4)/$F$16:$CA$16*($F$106:$CA$115*($B$106:$B$115=$B50)*($A$106:$A$115=$A$104)))</f>
        <v>#DIV/0!</v>
      </c>
      <c r="CH50" s="335" t="e">
        <f t="array" ref="CH50">SUM(IF($F50:$CA50=нет,0,IF($F50:$CA50&gt;=$F$16:$CA$16,$F$16:$CA$16,IF($F50:$CA50&lt;$F$17:$CA$17,0,$F50:$CA50)))*$F$11:$CA$11*($F$104:$CA$104=CH$4)/$F$16:$CA$16*($F$106:$CA$115*($B$106:$B$115=$B50)*($A$106:$A$115=$A$104)))</f>
        <v>#DIV/0!</v>
      </c>
      <c r="CI50" s="335" t="e">
        <f t="array" ref="CI50">SUM(IF($F50:$CA50=нет,0,IF($F50:$CA50&gt;=$F$16:$CA$16,$F$16:$CA$16,IF($F50:$CA50&lt;$F$17:$CA$17,0,$F50:$CA50)))*$F$11:$CA$11*($F$105:$CA$105=CI$4)/$F$16:$CA$16*($F$106:$CA$115*($B$106:$B$115=$B50)*($A$106:$A$115=$A$104)))</f>
        <v>#DIV/0!</v>
      </c>
      <c r="CJ50" s="1072" t="e">
        <f>'НУ(ВИД3)'!D51</f>
        <v>#DIV/0!</v>
      </c>
      <c r="CK50" s="335" t="e">
        <f t="array" ref="CK50">SUM(IF($F50:$CA50=нет,0,IF($F50:$CA50&gt;=$F$16:$CA$16,$F$16:$CA$16,IF($F50:$CA50&lt;$F$17:$CA$17,0,$F50:$CA50)))*$F$11:$CA$11*($F$104:$CA$104=CK$4)/$F$16:$CA$16*($F$106:$CA$115*($B$106:$B$115=$B50)*($A$106:$A$115=$A$104)))</f>
        <v>#DIV/0!</v>
      </c>
      <c r="CL50" s="335" t="e">
        <f t="array" ref="CL50">SUM(IF($F50:$CA50=нет,0,IF($F50:$CA50&gt;=$F$16:$CA$16,$F$16:$CA$16,IF($F50:$CA50&lt;$F$17:$CA$17,0,$F50:$CA50)))*$F$11:$CA$11*($F$104:$CA$104=CL$4)/$F$16:$CA$16*($F$106:$CA$115*($B$106:$B$115=$B50)*($A$106:$A$115=$A$104)))</f>
        <v>#DIV/0!</v>
      </c>
      <c r="CM50" s="335" t="e">
        <f t="array" ref="CM50">SUM(IF($F50:$CA50=нет,0,IF($F50:$CA50&gt;=$F$16:$CA$16,$F$16:$CA$16,IF($F50:$CA50&lt;$F$17:$CA$17,0,$F50:$CA50)))*$F$11:$CA$11*($F$104:$CA$104=CM$4)/$F$16:$CA$16*($F$106:$CA$115*($B$106:$B$115=$B50)*($A$106:$A$115=$A$104)))</f>
        <v>#DIV/0!</v>
      </c>
      <c r="CO50" s="1000" t="e">
        <f t="array" ref="CO50">SUM(IF($F50:$CA50=нет,0,100)*$F$11:$CA$11*($F$104:$CA$104=CO$4)/100*($F$106:$CA$115*($B$106:$B$115=$B50)*($A$106:$A$115=$A$104)))</f>
        <v>#DIV/0!</v>
      </c>
      <c r="CP50" s="1000" t="e">
        <f t="array" ref="CP50">SUM(IF($F50:$CA50=нет,0,100)*$F$11:$CA$11*($F$104:$CA$104=CP$4)/100*($F$106:$CA$115*($B$106:$B$115=$B50)*($A$106:$A$115=$A$104)))</f>
        <v>#DIV/0!</v>
      </c>
      <c r="CQ50" s="1000" t="e">
        <f t="array" ref="CQ50">SUM(IF($F50:$CA50=нет,0,100)*$F$11:$CA$11*($F$105:$CA$105=CQ$4)/100*($F$106:$CA$115*($B$106:$B$115=$B50)*($A$106:$A$115=$A$104)))</f>
        <v>#DIV/0!</v>
      </c>
      <c r="CR50" s="1057">
        <f>'НУ(ВИД3)'!E51</f>
        <v>21</v>
      </c>
      <c r="CS50" s="1000" t="e">
        <f t="array" ref="CS50">SUM(IF($F50:$CA50=нет,0,100)*$F$11:$CA$11*($F$104:$CA$104=CS$4)/100*($F$106:$CA$115*($B$106:$B$115=$B50)*($A$106:$A$115=$A$104)))</f>
        <v>#DIV/0!</v>
      </c>
      <c r="CT50" s="1000" t="e">
        <f t="array" ref="CT50">SUM(IF($F50:$CA50=нет,0,100)*$F$11:$CA$11*($F$104:$CA$104=CT$4)/100*($F$106:$CA$115*($B$106:$B$115=$B50)*($A$106:$A$115=$A$104)))</f>
        <v>#DIV/0!</v>
      </c>
      <c r="CU50" s="1000" t="e">
        <f t="array" ref="CU50">SUM(IF($F50:$CA50=нет,0,100)*$F$11:$CA$11*($F$104:$CA$104=CU$4)/100*($F$106:$CA$115*($B$106:$B$115=$B50)*($A$106:$A$115=$A$104)))</f>
        <v>#DIV/0!</v>
      </c>
      <c r="CW50" s="333" t="e">
        <f>SUM(CG50:CH50,CJ50:CM50,'Реестр ППС'!#REF!,' "Вуз зож"'!S50)</f>
        <v>#REF!</v>
      </c>
      <c r="CX50" s="333" t="e">
        <f>SUM(CO50:CP50,CR50:CU50,'Реестр ППС'!#REF!,' "Вуз зож"'!T50)</f>
        <v>#REF!</v>
      </c>
      <c r="CY50" s="332" t="e">
        <f t="shared" si="10"/>
        <v>#REF!</v>
      </c>
      <c r="DA50" s="336" t="e">
        <f>SUM(CI50:CK50,CM50,'Реестр ППС'!#REF!,' "Вуз зож"'!S50)</f>
        <v>#REF!</v>
      </c>
      <c r="DB50" s="336" t="e">
        <f>SUM(CQ50:CS50,CU50,'Реестр ППС'!#REF!,' "Вуз зож"'!T50)</f>
        <v>#REF!</v>
      </c>
      <c r="DC50" s="332" t="e">
        <f t="shared" si="37"/>
        <v>#REF!</v>
      </c>
      <c r="DD50" s="961"/>
      <c r="DE50" s="337" t="e">
        <f t="shared" si="43"/>
        <v>#DIV/0!</v>
      </c>
      <c r="DF50" s="337" t="e">
        <f t="shared" si="44"/>
        <v>#DIV/0!</v>
      </c>
      <c r="DG50" s="337" t="e">
        <f t="shared" si="45"/>
        <v>#DIV/0!</v>
      </c>
      <c r="DH50" s="337" t="e">
        <f t="shared" si="46"/>
        <v>#DIV/0!</v>
      </c>
      <c r="DI50" s="337" t="e">
        <f t="shared" si="47"/>
        <v>#DIV/0!</v>
      </c>
      <c r="DJ50" s="337" t="e">
        <f t="shared" si="48"/>
        <v>#DIV/0!</v>
      </c>
      <c r="DK50" s="337" t="e">
        <f t="shared" si="49"/>
        <v>#DIV/0!</v>
      </c>
      <c r="DL50" s="334" t="str">
        <f t="shared" si="4"/>
        <v>Терапевтической стоматологии</v>
      </c>
      <c r="DM50" s="215" t="str">
        <f t="shared" si="18"/>
        <v>СТОМ</v>
      </c>
      <c r="DN50" s="1505" t="e">
        <f t="shared" si="38"/>
        <v>#REF!</v>
      </c>
      <c r="DO50" s="338"/>
      <c r="DP50" s="338"/>
      <c r="DQ50" s="338"/>
      <c r="DR50" s="318"/>
      <c r="DS50" s="318"/>
      <c r="DT50" s="318"/>
      <c r="DU50" s="318"/>
      <c r="DV50" s="318"/>
      <c r="DW50" s="318"/>
      <c r="DX50" s="318"/>
    </row>
    <row r="51" spans="1:128" s="561" customFormat="1" ht="15.75" thickBot="1" x14ac:dyDescent="0.25">
      <c r="A51" s="550" t="s">
        <v>101</v>
      </c>
      <c r="B51" s="559" t="s">
        <v>7</v>
      </c>
      <c r="C51" s="482">
        <f>Кадры!C51</f>
        <v>0</v>
      </c>
      <c r="D51" s="485" t="str">
        <f t="shared" si="19"/>
        <v>СТОМ</v>
      </c>
      <c r="E51" s="560" t="s">
        <v>16</v>
      </c>
      <c r="F51" s="560" t="s">
        <v>31</v>
      </c>
      <c r="G51" s="909"/>
      <c r="H51" s="817">
        <f t="shared" si="5"/>
        <v>100</v>
      </c>
      <c r="I51" s="1748"/>
      <c r="J51" s="860">
        <f t="shared" ref="J51" si="70">IF(I51&gt;0,0,100)</f>
        <v>100</v>
      </c>
      <c r="K51" s="920">
        <f>МероприятияВуза!$AR51+МероприятияВуза!$AQ51</f>
        <v>0</v>
      </c>
      <c r="L51" s="919">
        <f>МероприятияВуза!$G51+МероприятияВуза!$H51</f>
        <v>0</v>
      </c>
      <c r="M51" s="925" t="str">
        <f t="shared" ref="M51" si="71">IF((L51&gt;0),K51/L51*100,IF(K51&gt;0,100,нет))</f>
        <v>нет</v>
      </c>
      <c r="N51" s="923">
        <f>МероприятияВуза!$AS51</f>
        <v>0</v>
      </c>
      <c r="O51" s="919">
        <f>МероприятияВуза!$I51+МероприятияВуза!$J51</f>
        <v>0</v>
      </c>
      <c r="P51" s="925" t="str">
        <f t="shared" ref="P51" si="72">IF((O51&gt;0),N51/O51*100,IF(N51&gt;0,100,нет))</f>
        <v>нет</v>
      </c>
      <c r="Q51" s="1844"/>
      <c r="R51" s="817">
        <f t="shared" si="22"/>
        <v>100</v>
      </c>
      <c r="S51" s="1847"/>
      <c r="T51" s="1848"/>
      <c r="U51" s="844" t="str">
        <f t="shared" ref="U51" si="73">IF(T51=0,"нет",S51/T51*100)</f>
        <v>нет</v>
      </c>
      <c r="V51" s="904"/>
      <c r="W51" s="909"/>
      <c r="X51" s="844" t="str">
        <f t="shared" ref="X51" si="74">IF(W51=0,"нет",V51/W51*100)</f>
        <v>нет</v>
      </c>
      <c r="Y51" s="1857"/>
      <c r="Z51" s="1858"/>
      <c r="AA51" s="844" t="str">
        <f t="shared" ref="AA51" si="75">IF(Z51=0,"нет",Y51/Z51*100)</f>
        <v>нет</v>
      </c>
      <c r="AB51" s="1748"/>
      <c r="AC51" s="909"/>
      <c r="AD51" s="912" t="str">
        <f t="shared" ref="AD51" si="76">IF(AC51=0,"нет",AC51/AB51*100)</f>
        <v>нет</v>
      </c>
      <c r="AE51" s="947"/>
      <c r="AF51" s="949"/>
      <c r="AG51" s="844" t="str">
        <f t="shared" ref="AG51" si="77">IF(AF51=0,"нет",AE51/AF51*100)</f>
        <v>нет</v>
      </c>
      <c r="AH51" s="951"/>
      <c r="AI51" s="949"/>
      <c r="AJ51" s="844" t="str">
        <f t="shared" ref="AJ51" si="78">IF(AI51=0,"нет",AH51/AI51*100)</f>
        <v>нет</v>
      </c>
      <c r="AK51" s="935">
        <f>ПрофРабота!$Q51</f>
        <v>0</v>
      </c>
      <c r="AL51" s="485">
        <f>ПрофРабота!$R51</f>
        <v>0</v>
      </c>
      <c r="AM51" s="485">
        <f>ПрофРабота!$S51</f>
        <v>0</v>
      </c>
      <c r="AN51" s="817">
        <f>ПрофРабота!$C51</f>
        <v>0</v>
      </c>
      <c r="AO51" s="923">
        <f>МероприятияВуза!$AT51</f>
        <v>0</v>
      </c>
      <c r="AP51" s="919">
        <f>МероприятияВуза!$K51</f>
        <v>0</v>
      </c>
      <c r="AQ51" s="817" t="str">
        <f t="shared" ref="AQ51" si="79">IF(AP51&lt;&gt;0,AO51/AP51*100,IF(AO51&gt;0,100,нет))</f>
        <v>нет</v>
      </c>
      <c r="AR51" s="938">
        <f>'ДПО(Финансы)'!$R51</f>
        <v>0</v>
      </c>
      <c r="AS51" s="939">
        <f>'ДПО(Финансы)'!$D51</f>
        <v>0</v>
      </c>
      <c r="AT51" s="510">
        <f t="shared" ref="AT51" si="80">IF(($E51="да"),IF(AR51=0,0,AR51/$C51),"нет")</f>
        <v>0</v>
      </c>
      <c r="AU51" s="1519" t="str">
        <f t="shared" ref="AU51" si="81">IF(($E51="да"),IF(AS51=0,"нет",AR51/AS51*100),"нет")</f>
        <v>нет</v>
      </c>
      <c r="AV51" s="938">
        <f>'ДПО(Финансы)'!$R51</f>
        <v>0</v>
      </c>
      <c r="AW51" s="939">
        <f>'ИДО(Финансы)'!$R51</f>
        <v>0</v>
      </c>
      <c r="AX51" s="939">
        <f>'ДПО(Финансы)'!$S51</f>
        <v>0</v>
      </c>
      <c r="AY51" s="939">
        <f>'ИДО(Финансы)'!$S51</f>
        <v>0</v>
      </c>
      <c r="AZ51" s="839" t="e">
        <f t="shared" ref="AZ51" si="82">(AV51+AW51)/$C51</f>
        <v>#DIV/0!</v>
      </c>
      <c r="BA51" s="1520" t="str">
        <f t="array" ref="BA51">IF(($E51="да"),IF($AX51=0,"нет",$AV51/$AX51*100-100),"нет")</f>
        <v>нет</v>
      </c>
      <c r="BB51" s="1521" t="str">
        <f t="array" ref="BB51">IF(($E51="да"),IF($AX51=0,"нет",$AV51/$AX51*100),"нет")</f>
        <v>нет</v>
      </c>
      <c r="BC51" s="1522" t="str">
        <f t="shared" ref="BC51" si="83">IF(($E51="да"),IF(AS51&gt;0,AU51,нет),нет)</f>
        <v>нет</v>
      </c>
      <c r="BD51" s="1522" t="e">
        <f t="array" ref="BD51">IF(($E51="да"),IF($AZ51&gt;$AZ$17,$AZ51/$AZ$16*BD$16,нет),нет)</f>
        <v>#DIV/0!</v>
      </c>
      <c r="BE51" s="938">
        <f>'ИДО(Финансы)'!$R51</f>
        <v>0</v>
      </c>
      <c r="BF51" s="939">
        <f>'ИДО(Финансы)'!D51</f>
        <v>0</v>
      </c>
      <c r="BG51" s="510" t="str">
        <f t="shared" ref="BG51" si="84">IF(($F51="да"),IF(BE51=0,0,BE51/$C51),"нет")</f>
        <v>нет</v>
      </c>
      <c r="BH51" s="1519" t="str">
        <f t="shared" ref="BH51" si="85">IF(($F51="да"),IF(BF51=0,"нет",BE51/BF51*100),"нет")</f>
        <v>нет</v>
      </c>
      <c r="BI51" s="1523" t="str">
        <f t="array" ref="BI51">IF(($E51="да")+($F51="да"),IF((BF51+AS51)=0,"нет",(AR51+BE51)/(BF51+AS51)*100),"нет")</f>
        <v>нет</v>
      </c>
      <c r="BJ51" s="829">
        <f>Кадры!$I51</f>
        <v>0</v>
      </c>
      <c r="BK51" s="940">
        <f>Кадры!$O51</f>
        <v>0</v>
      </c>
      <c r="BL51" s="941">
        <f>Кадры!$K51</f>
        <v>0</v>
      </c>
      <c r="BM51" s="821" t="str">
        <f t="array" ref="BM51">IF(BL51=0,"нет",BK51/BL51*100)</f>
        <v>нет</v>
      </c>
      <c r="BN51" s="923">
        <f>Кадры!E51</f>
        <v>0</v>
      </c>
      <c r="BO51" s="941">
        <f>Кадры!$K51</f>
        <v>0</v>
      </c>
      <c r="BP51" s="343" t="str">
        <f t="shared" ref="BP51" si="86">IF(BN51=0,нет,BO51/BN51)</f>
        <v>нет</v>
      </c>
      <c r="BQ51" s="342" t="e">
        <f t="shared" si="32"/>
        <v>#DIV/0!</v>
      </c>
      <c r="BR51" s="940">
        <f>Кадры!$L51</f>
        <v>0</v>
      </c>
      <c r="BS51" s="1544">
        <f>Кадры!$J51</f>
        <v>0</v>
      </c>
      <c r="BT51" s="343">
        <f t="shared" ref="BT51" si="87">IF(BS51=0,0,BR51/BS51*100)</f>
        <v>0</v>
      </c>
      <c r="BU51" s="817">
        <f t="shared" ref="BU51" si="88">100-BT51</f>
        <v>100</v>
      </c>
      <c r="BV51" s="923">
        <f>Кадры!$D51</f>
        <v>0</v>
      </c>
      <c r="BW51" s="919">
        <f>Кадры!$F51</f>
        <v>0</v>
      </c>
      <c r="BX51" s="817" t="e">
        <f t="shared" si="35"/>
        <v>#DIV/0!</v>
      </c>
      <c r="BY51" s="940">
        <f>Кадры!$P51</f>
        <v>0</v>
      </c>
      <c r="BZ51" s="941">
        <f>Кадры!$L51</f>
        <v>0</v>
      </c>
      <c r="CA51" s="342" t="str">
        <f t="shared" ref="CA51" si="89">IF(BZ51=0,"нет",BY51/BZ51*100)</f>
        <v>нет</v>
      </c>
      <c r="CB51" s="215"/>
      <c r="CC51" s="485" t="s">
        <v>108</v>
      </c>
      <c r="CD51" s="268"/>
      <c r="CE51" s="961"/>
      <c r="CF51" s="215"/>
      <c r="CG51" s="335" t="e">
        <f t="array" ref="CG51">SUM(IF($F51:$CA51=нет,0,IF($F51:$CA51&gt;=$F$16:$CA$16,$F$16:$CA$16,IF($F51:$CA51&lt;$F$17:$CA$17,0,$F51:$CA51)))*$F$11:$CA$11*($F$104:$CA$104=CG$4)/$F$16:$CA$16*($F$106:$CA$115*($B$106:$B$115=$B51)*($A$106:$A$115=$A$104)))</f>
        <v>#DIV/0!</v>
      </c>
      <c r="CH51" s="335" t="e">
        <f t="array" ref="CH51">SUM(IF($F51:$CA51=нет,0,IF($F51:$CA51&gt;=$F$16:$CA$16,$F$16:$CA$16,IF($F51:$CA51&lt;$F$17:$CA$17,0,$F51:$CA51)))*$F$11:$CA$11*($F$104:$CA$104=CH$4)/$F$16:$CA$16*($F$106:$CA$115*($B$106:$B$115=$B51)*($A$106:$A$115=$A$104)))</f>
        <v>#DIV/0!</v>
      </c>
      <c r="CI51" s="335" t="e">
        <f t="array" ref="CI51">SUM(IF($F51:$CA51=нет,0,IF($F51:$CA51&gt;=$F$16:$CA$16,$F$16:$CA$16,IF($F51:$CA51&lt;$F$17:$CA$17,0,$F51:$CA51)))*$F$11:$CA$11*($F$105:$CA$105=CI$4)/$F$16:$CA$16*($F$106:$CA$115*($B$106:$B$115=$B51)*($A$106:$A$115=$A$104)))</f>
        <v>#DIV/0!</v>
      </c>
      <c r="CJ51" s="1072" t="e">
        <f>'НУ(ВИД3)'!D52</f>
        <v>#DIV/0!</v>
      </c>
      <c r="CK51" s="335" t="e">
        <f t="array" ref="CK51">SUM(IF($F51:$CA51=нет,0,IF($F51:$CA51&gt;=$F$16:$CA$16,$F$16:$CA$16,IF($F51:$CA51&lt;$F$17:$CA$17,0,$F51:$CA51)))*$F$11:$CA$11*($F$104:$CA$104=CK$4)/$F$16:$CA$16*($F$106:$CA$115*($B$106:$B$115=$B51)*($A$106:$A$115=$A$104)))</f>
        <v>#DIV/0!</v>
      </c>
      <c r="CL51" s="335" t="e">
        <f t="array" ref="CL51">SUM(IF($F51:$CA51=нет,0,IF($F51:$CA51&gt;=$F$16:$CA$16,$F$16:$CA$16,IF($F51:$CA51&lt;$F$17:$CA$17,0,$F51:$CA51)))*$F$11:$CA$11*($F$104:$CA$104=CL$4)/$F$16:$CA$16*($F$106:$CA$115*($B$106:$B$115=$B51)*($A$106:$A$115=$A$104)))</f>
        <v>#DIV/0!</v>
      </c>
      <c r="CM51" s="335" t="e">
        <f t="array" ref="CM51">SUM(IF($F51:$CA51=нет,0,IF($F51:$CA51&gt;=$F$16:$CA$16,$F$16:$CA$16,IF($F51:$CA51&lt;$F$17:$CA$17,0,$F51:$CA51)))*$F$11:$CA$11*($F$104:$CA$104=CM$4)/$F$16:$CA$16*($F$106:$CA$115*($B$106:$B$115=$B51)*($A$106:$A$115=$A$104)))</f>
        <v>#DIV/0!</v>
      </c>
      <c r="CN51" s="215"/>
      <c r="CO51" s="1000" t="e">
        <f t="array" ref="CO51">SUM(IF($F51:$CA51=нет,0,100)*$F$11:$CA$11*($F$104:$CA$104=CO$4)/100*($F$106:$CA$115*($B$106:$B$115=$B51)*($A$106:$A$115=$A$104)))</f>
        <v>#DIV/0!</v>
      </c>
      <c r="CP51" s="1000" t="e">
        <f t="array" ref="CP51">SUM(IF($F51:$CA51=нет,0,100)*$F$11:$CA$11*($F$104:$CA$104=CP$4)/100*($F$106:$CA$115*($B$106:$B$115=$B51)*($A$106:$A$115=$A$104)))</f>
        <v>#DIV/0!</v>
      </c>
      <c r="CQ51" s="1000" t="e">
        <f t="array" ref="CQ51">SUM(IF($F51:$CA51=нет,0,100)*$F$11:$CA$11*($F$105:$CA$105=CQ$4)/100*($F$106:$CA$115*($B$106:$B$115=$B51)*($A$106:$A$115=$A$104)))</f>
        <v>#DIV/0!</v>
      </c>
      <c r="CR51" s="1057">
        <f>'НУ(ВИД3)'!E52</f>
        <v>21</v>
      </c>
      <c r="CS51" s="1000" t="e">
        <f t="array" ref="CS51">SUM(IF($F51:$CA51=нет,0,100)*$F$11:$CA$11*($F$104:$CA$104=CS$4)/100*($F$106:$CA$115*($B$106:$B$115=$B51)*($A$106:$A$115=$A$104)))</f>
        <v>#DIV/0!</v>
      </c>
      <c r="CT51" s="1000" t="e">
        <f t="array" ref="CT51">SUM(IF($F51:$CA51=нет,0,100)*$F$11:$CA$11*($F$104:$CA$104=CT$4)/100*($F$106:$CA$115*($B$106:$B$115=$B51)*($A$106:$A$115=$A$104)))</f>
        <v>#DIV/0!</v>
      </c>
      <c r="CU51" s="1000" t="e">
        <f t="array" ref="CU51">SUM(IF($F51:$CA51=нет,0,100)*$F$11:$CA$11*($F$104:$CA$104=CU$4)/100*($F$106:$CA$115*($B$106:$B$115=$B51)*($A$106:$A$115=$A$104)))</f>
        <v>#DIV/0!</v>
      </c>
      <c r="CV51" s="215"/>
      <c r="CW51" s="333" t="e">
        <f>SUM(CG51:CH51,CJ51:CM51,'Реестр ППС'!#REF!,' "Вуз зож"'!S51)</f>
        <v>#REF!</v>
      </c>
      <c r="CX51" s="333" t="e">
        <f>SUM(CO51:CP51,CR51:CU51,'Реестр ППС'!#REF!,' "Вуз зож"'!T51)</f>
        <v>#REF!</v>
      </c>
      <c r="CY51" s="332" t="e">
        <f t="shared" si="10"/>
        <v>#REF!</v>
      </c>
      <c r="CZ51" s="215"/>
      <c r="DA51" s="336" t="e">
        <f>SUM(CI51:CK51,CM51,'Реестр ППС'!#REF!,' "Вуз зож"'!S51)</f>
        <v>#REF!</v>
      </c>
      <c r="DB51" s="336" t="e">
        <f>SUM(CQ51:CS51,CU51,'Реестр ППС'!#REF!,' "Вуз зож"'!T51)</f>
        <v>#REF!</v>
      </c>
      <c r="DC51" s="332" t="e">
        <f t="shared" si="37"/>
        <v>#REF!</v>
      </c>
      <c r="DD51" s="961"/>
      <c r="DE51" s="337" t="e">
        <f t="shared" si="43"/>
        <v>#DIV/0!</v>
      </c>
      <c r="DF51" s="337" t="e">
        <f t="shared" si="44"/>
        <v>#DIV/0!</v>
      </c>
      <c r="DG51" s="337" t="e">
        <f t="shared" si="45"/>
        <v>#DIV/0!</v>
      </c>
      <c r="DH51" s="337" t="e">
        <f t="shared" si="46"/>
        <v>#DIV/0!</v>
      </c>
      <c r="DI51" s="337" t="e">
        <f t="shared" si="47"/>
        <v>#DIV/0!</v>
      </c>
      <c r="DJ51" s="337" t="e">
        <f t="shared" si="48"/>
        <v>#DIV/0!</v>
      </c>
      <c r="DK51" s="337" t="e">
        <f t="shared" si="49"/>
        <v>#DIV/0!</v>
      </c>
      <c r="DL51" s="334" t="str">
        <f t="shared" si="4"/>
        <v>Физической культуры и здорового образа жизни</v>
      </c>
      <c r="DM51" s="215" t="str">
        <f t="shared" si="18"/>
        <v>СТОМ</v>
      </c>
      <c r="DN51" s="1505" t="e">
        <f t="shared" si="38"/>
        <v>#REF!</v>
      </c>
      <c r="DO51" s="338"/>
      <c r="DP51" s="338"/>
      <c r="DQ51" s="338"/>
      <c r="DR51" s="318"/>
      <c r="DS51" s="318"/>
      <c r="DT51" s="318"/>
      <c r="DU51" s="318"/>
      <c r="DV51" s="318"/>
      <c r="DW51" s="318"/>
      <c r="DX51" s="318"/>
    </row>
    <row r="52" spans="1:128" s="215" customFormat="1" ht="17.25" customHeight="1" thickBot="1" x14ac:dyDescent="0.25">
      <c r="A52" s="1001" t="s">
        <v>338</v>
      </c>
      <c r="B52" s="974" t="s">
        <v>7</v>
      </c>
      <c r="C52" s="1002">
        <f>Кадры!C52</f>
        <v>0</v>
      </c>
      <c r="D52" s="997" t="str">
        <f t="shared" si="19"/>
        <v>СТОМ</v>
      </c>
      <c r="E52" s="1004" t="s">
        <v>16</v>
      </c>
      <c r="F52" s="1004" t="s">
        <v>31</v>
      </c>
      <c r="G52" s="1005"/>
      <c r="H52" s="1752">
        <f t="shared" ref="H52:H75" si="90">IF(G52&gt;0,0,100)</f>
        <v>100</v>
      </c>
      <c r="I52" s="1749"/>
      <c r="J52" s="1007">
        <f t="shared" ref="J52:J75" si="91">IF(I52&gt;0,0,100)</f>
        <v>100</v>
      </c>
      <c r="K52" s="1008">
        <f>МероприятияВуза!$AR52+МероприятияВуза!$AQ52</f>
        <v>0</v>
      </c>
      <c r="L52" s="1009">
        <f>МероприятияВуза!$G52+МероприятияВуза!$H52</f>
        <v>0</v>
      </c>
      <c r="M52" s="1010" t="str">
        <f t="shared" si="20"/>
        <v>нет</v>
      </c>
      <c r="N52" s="1011">
        <f>МероприятияВуза!$AS52</f>
        <v>0</v>
      </c>
      <c r="O52" s="1009">
        <f>МероприятияВуза!$I52+МероприятияВуза!$J52</f>
        <v>0</v>
      </c>
      <c r="P52" s="1010" t="str">
        <f t="shared" si="21"/>
        <v>нет</v>
      </c>
      <c r="Q52" s="1841"/>
      <c r="R52" s="817">
        <f t="shared" si="22"/>
        <v>100</v>
      </c>
      <c r="S52" s="1851"/>
      <c r="T52" s="1850"/>
      <c r="U52" s="1013" t="str">
        <f t="shared" si="23"/>
        <v>нет</v>
      </c>
      <c r="V52" s="1012"/>
      <c r="W52" s="1005"/>
      <c r="X52" s="1013" t="str">
        <f t="shared" si="7"/>
        <v>нет</v>
      </c>
      <c r="Y52" s="1861"/>
      <c r="Z52" s="1860"/>
      <c r="AA52" s="1750" t="str">
        <f t="shared" si="8"/>
        <v>нет</v>
      </c>
      <c r="AB52" s="1749"/>
      <c r="AC52" s="1005"/>
      <c r="AD52" s="1014" t="str">
        <f t="shared" si="24"/>
        <v>нет</v>
      </c>
      <c r="AE52" s="1015"/>
      <c r="AF52" s="1016"/>
      <c r="AG52" s="1013" t="str">
        <f t="shared" si="9"/>
        <v>нет</v>
      </c>
      <c r="AH52" s="1017"/>
      <c r="AI52" s="1016"/>
      <c r="AJ52" s="1013" t="str">
        <f t="shared" si="25"/>
        <v>нет</v>
      </c>
      <c r="AK52" s="1018">
        <f>ПрофРабота!$Q52</f>
        <v>0</v>
      </c>
      <c r="AL52" s="997">
        <f>ПрофРабота!$R52</f>
        <v>0</v>
      </c>
      <c r="AM52" s="997">
        <f>ПрофРабота!$S52</f>
        <v>0</v>
      </c>
      <c r="AN52" s="933">
        <f>ПрофРабота!$C52</f>
        <v>0</v>
      </c>
      <c r="AO52" s="1011">
        <f>МероприятияВуза!$AT52</f>
        <v>0</v>
      </c>
      <c r="AP52" s="1009">
        <f>МероприятияВуза!$K52</f>
        <v>0</v>
      </c>
      <c r="AQ52" s="933" t="str">
        <f t="shared" si="26"/>
        <v>нет</v>
      </c>
      <c r="AR52" s="1064">
        <f>'ДПО(Финансы)'!$R52</f>
        <v>0</v>
      </c>
      <c r="AS52" s="1020">
        <f>'ДПО(Финансы)'!$D52</f>
        <v>60000</v>
      </c>
      <c r="AT52" s="1021">
        <f t="shared" si="27"/>
        <v>0</v>
      </c>
      <c r="AU52" s="1524">
        <f t="shared" si="28"/>
        <v>0</v>
      </c>
      <c r="AV52" s="1064">
        <f>'ДПО(Финансы)'!$R52</f>
        <v>0</v>
      </c>
      <c r="AW52" s="1020">
        <f>'ИДО(Финансы)'!$R52</f>
        <v>0</v>
      </c>
      <c r="AX52" s="1020">
        <f>'ДПО(Финансы)'!$S52</f>
        <v>149100</v>
      </c>
      <c r="AY52" s="1020">
        <f>'ИДО(Финансы)'!$S52</f>
        <v>0</v>
      </c>
      <c r="AZ52" s="1024" t="e">
        <f t="shared" ref="AZ52:AZ75" si="92">(AV52+AW52)/$C52</f>
        <v>#DIV/0!</v>
      </c>
      <c r="BA52" s="1525">
        <f t="array" ref="BA52">IF(($E52="да"),IF($AX52=0,"нет",$AV52/$AX52*100-100),"нет")</f>
        <v>-100</v>
      </c>
      <c r="BB52" s="1526">
        <f t="array" ref="BB52">IF(($E52="да"),IF($AX52=0,"нет",$AV52/$AX52*100),"нет")</f>
        <v>0</v>
      </c>
      <c r="BC52" s="1527">
        <f t="shared" ref="BC52:BC78" si="93">IF(($E52="да"),IF(AS52&gt;0,AU52,нет),нет)</f>
        <v>0</v>
      </c>
      <c r="BD52" s="1527" t="e">
        <f t="array" ref="BD52">IF(($E52="да"),IF($AZ52&gt;$AZ$17,$AZ52/$AZ$16*BD$16,нет),нет)</f>
        <v>#DIV/0!</v>
      </c>
      <c r="BE52" s="1064">
        <f>'ИДО(Финансы)'!$R52</f>
        <v>0</v>
      </c>
      <c r="BF52" s="1020">
        <f>'ИДО(Финансы)'!D52</f>
        <v>0</v>
      </c>
      <c r="BG52" s="1021" t="str">
        <f t="shared" si="29"/>
        <v>нет</v>
      </c>
      <c r="BH52" s="1524" t="str">
        <f t="shared" si="30"/>
        <v>нет</v>
      </c>
      <c r="BI52" s="1528">
        <f t="array" ref="BI52">IF(($E52="да")+($F52="да"),IF((BF52+AS52)=0,"нет",(AR52+BE52)/(BF52+AS52)*100),"нет")</f>
        <v>0</v>
      </c>
      <c r="BJ52" s="1026">
        <f>Кадры!$I52</f>
        <v>0</v>
      </c>
      <c r="BK52" s="1022">
        <f>Кадры!$O52</f>
        <v>0</v>
      </c>
      <c r="BL52" s="1023">
        <f>Кадры!$K52</f>
        <v>0</v>
      </c>
      <c r="BM52" s="1027" t="str">
        <f t="array" ref="BM52">IF(BL52=0,"нет",BK52/BL52*100)</f>
        <v>нет</v>
      </c>
      <c r="BN52" s="1011">
        <f>Кадры!E52</f>
        <v>0</v>
      </c>
      <c r="BO52" s="1023">
        <f>Кадры!$K52</f>
        <v>0</v>
      </c>
      <c r="BP52" s="1025" t="str">
        <f t="shared" si="31"/>
        <v>нет</v>
      </c>
      <c r="BQ52" s="342" t="e">
        <f t="shared" si="32"/>
        <v>#DIV/0!</v>
      </c>
      <c r="BR52" s="1022">
        <f>Кадры!$L52</f>
        <v>0</v>
      </c>
      <c r="BS52" s="1545">
        <f>Кадры!$J52</f>
        <v>0</v>
      </c>
      <c r="BT52" s="1025">
        <f t="shared" si="33"/>
        <v>0</v>
      </c>
      <c r="BU52" s="933">
        <f t="shared" si="34"/>
        <v>100</v>
      </c>
      <c r="BV52" s="1008">
        <f>Кадры!$D52</f>
        <v>0</v>
      </c>
      <c r="BW52" s="1009">
        <f>Кадры!$F52</f>
        <v>0</v>
      </c>
      <c r="BX52" s="817" t="e">
        <f t="shared" si="35"/>
        <v>#DIV/0!</v>
      </c>
      <c r="BY52" s="1022">
        <f>Кадры!$P52</f>
        <v>0</v>
      </c>
      <c r="BZ52" s="1023">
        <f>Кадры!$L52</f>
        <v>0</v>
      </c>
      <c r="CA52" s="1006" t="str">
        <f t="shared" si="36"/>
        <v>нет</v>
      </c>
      <c r="CC52" s="997" t="s">
        <v>108</v>
      </c>
      <c r="CD52" s="268"/>
      <c r="CE52" s="961"/>
      <c r="CG52" s="1028" t="e">
        <f t="array" ref="CG52">SUM(IF($F52:$CA52=нет,0,IF($F52:$CA52&gt;=$F$16:$CA$16,$F$16:$CA$16,IF($F52:$CA52&lt;$F$17:$CA$17,0,$F52:$CA52)))*$F$11:$CA$11*($F$104:$CA$104=CG$4)/$F$16:$CA$16*($F$106:$CA$115*($B$106:$B$115=$B52)*($A$106:$A$115=$A$104)))</f>
        <v>#DIV/0!</v>
      </c>
      <c r="CH52" s="1028" t="e">
        <f t="array" ref="CH52">SUM(IF($F52:$CA52=нет,0,IF($F52:$CA52&gt;=$F$16:$CA$16,$F$16:$CA$16,IF($F52:$CA52&lt;$F$17:$CA$17,0,$F52:$CA52)))*$F$11:$CA$11*($F$104:$CA$104=CH$4)/$F$16:$CA$16*($F$106:$CA$115*($B$106:$B$115=$B52)*($A$106:$A$115=$A$104)))</f>
        <v>#DIV/0!</v>
      </c>
      <c r="CI52" s="1028" t="e">
        <f t="array" ref="CI52">SUM(IF($F52:$CA52=нет,0,IF($F52:$CA52&gt;=$F$16:$CA$16,$F$16:$CA$16,IF($F52:$CA52&lt;$F$17:$CA$17,0,$F52:$CA52)))*$F$11:$CA$11*($F$105:$CA$105=CI$4)/$F$16:$CA$16*($F$106:$CA$115*($B$106:$B$115=$B52)*($A$106:$A$115=$A$104)))</f>
        <v>#DIV/0!</v>
      </c>
      <c r="CJ52" s="1072" t="e">
        <f>'НУ(ВИД3)'!D53</f>
        <v>#DIV/0!</v>
      </c>
      <c r="CK52" s="1028" t="e">
        <f t="array" ref="CK52">SUM(IF($F52:$CA52=нет,0,IF($F52:$CA52&gt;=$F$16:$CA$16,$F$16:$CA$16,IF($F52:$CA52&lt;$F$17:$CA$17,0,$F52:$CA52)))*$F$11:$CA$11*($F$104:$CA$104=CK$4)/$F$16:$CA$16*($F$106:$CA$115*($B$106:$B$115=$B52)*($A$106:$A$115=$A$104)))</f>
        <v>#DIV/0!</v>
      </c>
      <c r="CL52" s="1028" t="e">
        <f t="array" ref="CL52">SUM(IF($F52:$CA52=нет,0,IF($F52:$CA52&gt;=$F$16:$CA$16,$F$16:$CA$16,IF($F52:$CA52&lt;$F$17:$CA$17,0,$F52:$CA52)))*$F$11:$CA$11*($F$104:$CA$104=CL$4)/$F$16:$CA$16*($F$106:$CA$115*($B$106:$B$115=$B52)*($A$106:$A$115=$A$104)))</f>
        <v>#DIV/0!</v>
      </c>
      <c r="CM52" s="1028" t="e">
        <f t="array" ref="CM52">SUM(IF($F52:$CA52=нет,0,IF($F52:$CA52&gt;=$F$16:$CA$16,$F$16:$CA$16,IF($F52:$CA52&lt;$F$17:$CA$17,0,$F52:$CA52)))*$F$11:$CA$11*($F$104:$CA$104=CM$4)/$F$16:$CA$16*($F$106:$CA$115*($B$106:$B$115=$B52)*($A$106:$A$115=$A$104)))</f>
        <v>#DIV/0!</v>
      </c>
      <c r="CO52" s="1029" t="e">
        <f t="array" ref="CO52">SUM(IF($F52:$CA52=нет,0,100)*$F$11:$CA$11*($F$104:$CA$104=CO$4)/100*($F$106:$CA$115*($B$106:$B$115=$B52)*($A$106:$A$115=$A$104)))</f>
        <v>#DIV/0!</v>
      </c>
      <c r="CP52" s="1029" t="e">
        <f t="array" ref="CP52">SUM(IF($F52:$CA52=нет,0,100)*$F$11:$CA$11*($F$104:$CA$104=CP$4)/100*($F$106:$CA$115*($B$106:$B$115=$B52)*($A$106:$A$115=$A$104)))</f>
        <v>#DIV/0!</v>
      </c>
      <c r="CQ52" s="1029" t="e">
        <f t="array" ref="CQ52">SUM(IF($F52:$CA52=нет,0,100)*$F$11:$CA$11*($F$105:$CA$105=CQ$4)/100*($F$106:$CA$115*($B$106:$B$115=$B52)*($A$106:$A$115=$A$104)))</f>
        <v>#DIV/0!</v>
      </c>
      <c r="CR52" s="1057">
        <f>'НУ(ВИД3)'!E53</f>
        <v>21</v>
      </c>
      <c r="CS52" s="1029" t="e">
        <f t="array" ref="CS52">SUM(IF($F52:$CA52=нет,0,100)*$F$11:$CA$11*($F$104:$CA$104=CS$4)/100*($F$106:$CA$115*($B$106:$B$115=$B52)*($A$106:$A$115=$A$104)))</f>
        <v>#DIV/0!</v>
      </c>
      <c r="CT52" s="1029" t="e">
        <f t="array" ref="CT52">SUM(IF($F52:$CA52=нет,0,100)*$F$11:$CA$11*($F$104:$CA$104=CT$4)/100*($F$106:$CA$115*($B$106:$B$115=$B52)*($A$106:$A$115=$A$104)))</f>
        <v>#DIV/0!</v>
      </c>
      <c r="CU52" s="1029" t="e">
        <f t="array" ref="CU52">SUM(IF($F52:$CA52=нет,0,100)*$F$11:$CA$11*($F$104:$CA$104=CU$4)/100*($F$106:$CA$115*($B$106:$B$115=$B52)*($A$106:$A$115=$A$104)))</f>
        <v>#DIV/0!</v>
      </c>
      <c r="CW52" s="1030" t="e">
        <f>SUM(CG52:CH52,CJ52:CM52,'Реестр ППС'!#REF!,' "Вуз зож"'!S52)</f>
        <v>#REF!</v>
      </c>
      <c r="CX52" s="1030" t="e">
        <f>SUM(CO52:CP52,CR52:CU52,'Реестр ППС'!#REF!,' "Вуз зож"'!T52)</f>
        <v>#REF!</v>
      </c>
      <c r="CY52" s="1031" t="e">
        <f t="shared" si="10"/>
        <v>#REF!</v>
      </c>
      <c r="DA52" s="336" t="e">
        <f>SUM(CI52:CK52,CM52,'Реестр ППС'!#REF!,' "Вуз зож"'!S52)</f>
        <v>#REF!</v>
      </c>
      <c r="DB52" s="336" t="e">
        <f>SUM(CQ52:CS52,CU52,'Реестр ППС'!#REF!,' "Вуз зож"'!T52)</f>
        <v>#REF!</v>
      </c>
      <c r="DC52" s="1031" t="e">
        <f t="shared" si="37"/>
        <v>#REF!</v>
      </c>
      <c r="DD52" s="961"/>
      <c r="DE52" s="1032" t="e">
        <f t="shared" si="43"/>
        <v>#DIV/0!</v>
      </c>
      <c r="DF52" s="1032" t="e">
        <f t="shared" si="44"/>
        <v>#DIV/0!</v>
      </c>
      <c r="DG52" s="1032" t="e">
        <f t="shared" si="45"/>
        <v>#DIV/0!</v>
      </c>
      <c r="DH52" s="1032" t="e">
        <f t="shared" si="46"/>
        <v>#DIV/0!</v>
      </c>
      <c r="DI52" s="1032" t="e">
        <f t="shared" si="47"/>
        <v>#DIV/0!</v>
      </c>
      <c r="DJ52" s="1032" t="e">
        <f t="shared" si="48"/>
        <v>#DIV/0!</v>
      </c>
      <c r="DK52" s="1032" t="e">
        <f t="shared" si="49"/>
        <v>#DIV/0!</v>
      </c>
      <c r="DL52" s="334" t="str">
        <f t="shared" si="4"/>
        <v>Хирургической стоматологии, челюстно-лицевой хирургии</v>
      </c>
      <c r="DM52" s="215" t="str">
        <f t="shared" si="18"/>
        <v>СТОМ</v>
      </c>
      <c r="DN52" s="1506" t="e">
        <f t="shared" si="38"/>
        <v>#REF!</v>
      </c>
      <c r="DO52" s="338"/>
      <c r="DP52" s="338"/>
      <c r="DQ52" s="338"/>
      <c r="DR52" s="318"/>
      <c r="DS52" s="318"/>
      <c r="DT52" s="318"/>
      <c r="DU52" s="318"/>
      <c r="DV52" s="318"/>
      <c r="DW52" s="318"/>
      <c r="DX52" s="318"/>
    </row>
    <row r="53" spans="1:128" s="1055" customFormat="1" ht="15.75" thickBot="1" x14ac:dyDescent="0.25">
      <c r="A53" s="569" t="s">
        <v>112</v>
      </c>
      <c r="B53" s="976" t="s">
        <v>7</v>
      </c>
      <c r="C53" s="565">
        <f>Кадры!C53</f>
        <v>0</v>
      </c>
      <c r="D53" s="2078" t="str">
        <f t="shared" si="19"/>
        <v>ОЗДОРОВЬЯ</v>
      </c>
      <c r="E53" s="2073" t="s">
        <v>16</v>
      </c>
      <c r="F53" s="568" t="s">
        <v>31</v>
      </c>
      <c r="G53" s="576"/>
      <c r="H53" s="934">
        <f t="shared" si="90"/>
        <v>100</v>
      </c>
      <c r="I53" s="1836"/>
      <c r="J53" s="1034">
        <f t="shared" si="91"/>
        <v>100</v>
      </c>
      <c r="K53" s="1035">
        <f>МероприятияВуза!$AR53+МероприятияВуза!$AQ53</f>
        <v>0</v>
      </c>
      <c r="L53" s="1036">
        <f>МероприятияВуза!$G53+МероприятияВуза!$H53</f>
        <v>0</v>
      </c>
      <c r="M53" s="1037" t="str">
        <f t="shared" si="20"/>
        <v>нет</v>
      </c>
      <c r="N53" s="1038">
        <f>МероприятияВуза!$AS53</f>
        <v>0</v>
      </c>
      <c r="O53" s="1036">
        <f>МероприятияВуза!$I53+МероприятияВуза!$J53</f>
        <v>0</v>
      </c>
      <c r="P53" s="1037" t="str">
        <f t="shared" si="21"/>
        <v>нет</v>
      </c>
      <c r="Q53" s="1840"/>
      <c r="R53" s="817">
        <f t="shared" si="22"/>
        <v>100</v>
      </c>
      <c r="S53" s="1852"/>
      <c r="T53" s="1845"/>
      <c r="U53" s="908" t="str">
        <f t="shared" si="23"/>
        <v>нет</v>
      </c>
      <c r="V53" s="1039"/>
      <c r="W53" s="576"/>
      <c r="X53" s="908" t="str">
        <f t="shared" si="7"/>
        <v>нет</v>
      </c>
      <c r="Y53" s="1862"/>
      <c r="Z53" s="1855"/>
      <c r="AA53" s="908" t="str">
        <f t="shared" si="8"/>
        <v>нет</v>
      </c>
      <c r="AB53" s="1039"/>
      <c r="AC53" s="576"/>
      <c r="AD53" s="908" t="str">
        <f t="shared" si="24"/>
        <v>нет</v>
      </c>
      <c r="AE53" s="1041"/>
      <c r="AF53" s="1042"/>
      <c r="AG53" s="908" t="str">
        <f t="shared" si="9"/>
        <v>нет</v>
      </c>
      <c r="AH53" s="1043"/>
      <c r="AI53" s="1042"/>
      <c r="AJ53" s="908" t="str">
        <f t="shared" si="25"/>
        <v>нет</v>
      </c>
      <c r="AK53" s="1044">
        <f>ПрофРабота!$Q53</f>
        <v>0</v>
      </c>
      <c r="AL53" s="577">
        <f>ПрофРабота!$R53</f>
        <v>0</v>
      </c>
      <c r="AM53" s="577">
        <f>ПрофРабота!$S53</f>
        <v>0</v>
      </c>
      <c r="AN53" s="934">
        <f>ПрофРабота!$C53</f>
        <v>0</v>
      </c>
      <c r="AO53" s="1038">
        <f>МероприятияВуза!$AT53</f>
        <v>0</v>
      </c>
      <c r="AP53" s="1036">
        <f>МероприятияВуза!$K53</f>
        <v>0</v>
      </c>
      <c r="AQ53" s="934" t="str">
        <f t="shared" si="26"/>
        <v>нет</v>
      </c>
      <c r="AR53" s="1045">
        <f>'ДПО(Финансы)'!$R53</f>
        <v>0</v>
      </c>
      <c r="AS53" s="1046">
        <f>'ДПО(Финансы)'!$D53</f>
        <v>10000</v>
      </c>
      <c r="AT53" s="1047">
        <f t="shared" si="27"/>
        <v>0</v>
      </c>
      <c r="AU53" s="1514">
        <f t="shared" si="28"/>
        <v>0</v>
      </c>
      <c r="AV53" s="1045">
        <f>'ДПО(Финансы)'!$R53</f>
        <v>0</v>
      </c>
      <c r="AW53" s="1046">
        <f>'ИДО(Финансы)'!$R53</f>
        <v>596266</v>
      </c>
      <c r="AX53" s="1046">
        <f>'ДПО(Финансы)'!$S53</f>
        <v>0</v>
      </c>
      <c r="AY53" s="1046">
        <f>'ИДО(Финансы)'!$S53</f>
        <v>800443.15999999992</v>
      </c>
      <c r="AZ53" s="1049" t="e">
        <f t="shared" si="92"/>
        <v>#DIV/0!</v>
      </c>
      <c r="BA53" s="1515" t="str">
        <f t="array" ref="BA53">IF(($E53="да"),IF($AX53=0,"нет",$AV53/$AX53*100-100),"нет")</f>
        <v>нет</v>
      </c>
      <c r="BB53" s="1516" t="str">
        <f t="array" ref="BB53">IF(($E53="да"),IF($AX53=0,"нет",$AV53/$AX53*100),"нет")</f>
        <v>нет</v>
      </c>
      <c r="BC53" s="1517">
        <f t="shared" si="93"/>
        <v>0</v>
      </c>
      <c r="BD53" s="1517" t="e">
        <f t="array" ref="BD53">IF(($E53="да"),IF($AZ53&gt;$AZ$17,$AZ53/$AZ$16*BD$16,нет),нет)</f>
        <v>#DIV/0!</v>
      </c>
      <c r="BE53" s="1045">
        <f>'ИДО(Финансы)'!$R53</f>
        <v>596266</v>
      </c>
      <c r="BF53" s="1046">
        <f>'ИДО(Финансы)'!D53</f>
        <v>596266</v>
      </c>
      <c r="BG53" s="1047" t="str">
        <f t="shared" si="29"/>
        <v>нет</v>
      </c>
      <c r="BH53" s="1514" t="str">
        <f t="shared" si="30"/>
        <v>нет</v>
      </c>
      <c r="BI53" s="1518">
        <f t="array" ref="BI53">IF(($E53="да")+($F53="да"),IF((BF53+AS53)=0,"нет",(AR53+BE53)/(BF53+AS53)*100),"нет")</f>
        <v>98.350558995556398</v>
      </c>
      <c r="BJ53" s="1051">
        <f>Кадры!$I53</f>
        <v>0</v>
      </c>
      <c r="BK53" s="1048">
        <f>Кадры!$O53</f>
        <v>0</v>
      </c>
      <c r="BL53" s="943">
        <f>Кадры!$K53</f>
        <v>0</v>
      </c>
      <c r="BM53" s="1052" t="str">
        <f t="array" ref="BM53">IF(BL53=0,"нет",BK53/BL53*100)</f>
        <v>нет</v>
      </c>
      <c r="BN53" s="1038">
        <f>Кадры!E53</f>
        <v>0</v>
      </c>
      <c r="BO53" s="943">
        <f>Кадры!$K53</f>
        <v>0</v>
      </c>
      <c r="BP53" s="1050" t="str">
        <f t="shared" si="31"/>
        <v>нет</v>
      </c>
      <c r="BQ53" s="342" t="e">
        <f t="shared" si="32"/>
        <v>#DIV/0!</v>
      </c>
      <c r="BR53" s="1048">
        <f>Кадры!$L53</f>
        <v>0</v>
      </c>
      <c r="BS53" s="1543">
        <f>Кадры!$J53</f>
        <v>0</v>
      </c>
      <c r="BT53" s="1050">
        <f t="shared" si="33"/>
        <v>0</v>
      </c>
      <c r="BU53" s="934">
        <f t="shared" si="34"/>
        <v>100</v>
      </c>
      <c r="BV53" s="1038">
        <f>Кадры!$D53</f>
        <v>0</v>
      </c>
      <c r="BW53" s="1036">
        <f>Кадры!$F53</f>
        <v>0</v>
      </c>
      <c r="BX53" s="934" t="e">
        <f t="shared" si="35"/>
        <v>#DIV/0!</v>
      </c>
      <c r="BY53" s="1048">
        <f>Кадры!$P53</f>
        <v>0</v>
      </c>
      <c r="BZ53" s="943">
        <f>Кадры!$L53</f>
        <v>0</v>
      </c>
      <c r="CA53" s="1033" t="str">
        <f t="shared" si="36"/>
        <v>нет</v>
      </c>
      <c r="CB53" s="215"/>
      <c r="CC53" s="992" t="s">
        <v>333</v>
      </c>
      <c r="CD53" s="1053"/>
      <c r="CE53" s="1054"/>
      <c r="CG53" s="1056" t="e">
        <f t="array" ref="CG53">SUM(IF($F53:$CA53=нет,0,IF($F53:$CA53&gt;=$F$16:$CA$16,$F$16:$CA$16,IF($F53:$CA53&lt;$F$17:$CA$17,0,$F53:$CA53)))*$F$11:$CA$11*($F$104:$CA$104=CG$4)/$F$16:$CA$16*($F$106:$CA$115*($B$106:$B$115=$B53)*($A$106:$A$115=$A$104)))</f>
        <v>#DIV/0!</v>
      </c>
      <c r="CH53" s="1056" t="e">
        <f t="array" ref="CH53">SUM(IF($F53:$CA53=нет,0,IF($F53:$CA53&gt;=$F$16:$CA$16,$F$16:$CA$16,IF($F53:$CA53&lt;$F$17:$CA$17,0,$F53:$CA53)))*$F$11:$CA$11*($F$104:$CA$104=CH$4)/$F$16:$CA$16*($F$106:$CA$115*($B$106:$B$115=$B53)*($A$106:$A$115=$A$104)))</f>
        <v>#DIV/0!</v>
      </c>
      <c r="CI53" s="1056" t="e">
        <f t="array" ref="CI53">SUM(IF($F53:$CA53=нет,0,IF($F53:$CA53&gt;=$F$16:$CA$16,$F$16:$CA$16,IF($F53:$CA53&lt;$F$17:$CA$17,0,$F53:$CA53)))*$F$11:$CA$11*($F$105:$CA$105=CI$4)/$F$16:$CA$16*($F$106:$CA$115*($B$106:$B$115=$B53)*($A$106:$A$115=$A$104)))</f>
        <v>#DIV/0!</v>
      </c>
      <c r="CJ53" s="1072" t="e">
        <f>'НУ(ВИД3)'!D54</f>
        <v>#DIV/0!</v>
      </c>
      <c r="CK53" s="1056" t="e">
        <f t="array" ref="CK53">SUM(IF($F53:$CA53=нет,0,IF($F53:$CA53&gt;=$F$16:$CA$16,$F$16:$CA$16,IF($F53:$CA53&lt;$F$17:$CA$17,0,$F53:$CA53)))*$F$11:$CA$11*($F$104:$CA$104=CK$4)/$F$16:$CA$16*($F$106:$CA$115*($B$106:$B$115=$B53)*($A$106:$A$115=$A$104)))</f>
        <v>#DIV/0!</v>
      </c>
      <c r="CL53" s="1056" t="e">
        <f t="array" ref="CL53">SUM(IF($F53:$CA53=нет,0,IF($F53:$CA53&gt;=$F$16:$CA$16,$F$16:$CA$16,IF($F53:$CA53&lt;$F$17:$CA$17,0,$F53:$CA53)))*$F$11:$CA$11*($F$104:$CA$104=CL$4)/$F$16:$CA$16*($F$106:$CA$115*($B$106:$B$115=$B53)*($A$106:$A$115=$A$104)))</f>
        <v>#DIV/0!</v>
      </c>
      <c r="CM53" s="1056" t="e">
        <f t="array" ref="CM53">SUM(IF($F53:$CA53=нет,0,IF($F53:$CA53&gt;=$F$16:$CA$16,$F$16:$CA$16,IF($F53:$CA53&lt;$F$17:$CA$17,0,$F53:$CA53)))*$F$11:$CA$11*($F$104:$CA$104=CM$4)/$F$16:$CA$16*($F$106:$CA$115*($B$106:$B$115=$B53)*($A$106:$A$115=$A$104)))</f>
        <v>#DIV/0!</v>
      </c>
      <c r="CO53" s="1057" t="e">
        <f t="array" ref="CO53">SUM(IF($F53:$CA53=нет,0,100)*$F$11:$CA$11*($F$104:$CA$104=CO$4)/100*($F$106:$CA$115*($B$106:$B$115=$B53)*($A$106:$A$115=$A$104)))</f>
        <v>#DIV/0!</v>
      </c>
      <c r="CP53" s="1057" t="e">
        <f t="array" ref="CP53">SUM(IF($F53:$CA53=нет,0,100)*$F$11:$CA$11*($F$104:$CA$104=CP$4)/100*($F$106:$CA$115*($B$106:$B$115=$B53)*($A$106:$A$115=$A$104)))</f>
        <v>#DIV/0!</v>
      </c>
      <c r="CQ53" s="1057" t="e">
        <f t="array" ref="CQ53">SUM(IF($F53:$CA53=нет,0,100)*$F$11:$CA$11*($F$105:$CA$105=CQ$4)/100*($F$106:$CA$115*($B$106:$B$115=$B53)*($A$106:$A$115=$A$104)))</f>
        <v>#DIV/0!</v>
      </c>
      <c r="CR53" s="1057">
        <f>'НУ(ВИД3)'!E54</f>
        <v>21</v>
      </c>
      <c r="CS53" s="1057" t="e">
        <f t="array" ref="CS53">SUM(IF($F53:$CA53=нет,0,100)*$F$11:$CA$11*($F$104:$CA$104=CS$4)/100*($F$106:$CA$115*($B$106:$B$115=$B53)*($A$106:$A$115=$A$104)))</f>
        <v>#DIV/0!</v>
      </c>
      <c r="CT53" s="1057" t="e">
        <f t="array" ref="CT53">SUM(IF($F53:$CA53=нет,0,100)*$F$11:$CA$11*($F$104:$CA$104=CT$4)/100*($F$106:$CA$115*($B$106:$B$115=$B53)*($A$106:$A$115=$A$104)))</f>
        <v>#DIV/0!</v>
      </c>
      <c r="CU53" s="1057" t="e">
        <f t="array" ref="CU53">SUM(IF($F53:$CA53=нет,0,100)*$F$11:$CA$11*($F$104:$CA$104=CU$4)/100*($F$106:$CA$115*($B$106:$B$115=$B53)*($A$106:$A$115=$A$104)))</f>
        <v>#DIV/0!</v>
      </c>
      <c r="CW53" s="1059" t="e">
        <f>SUM(CG53:CH53,CJ53:CM53,'Реестр ППС'!#REF!,' "Вуз зож"'!S53)</f>
        <v>#REF!</v>
      </c>
      <c r="CX53" s="1059" t="e">
        <f>SUM(CO53:CP53,CR53:CU53,'Реестр ППС'!#REF!,' "Вуз зож"'!T53)</f>
        <v>#REF!</v>
      </c>
      <c r="CY53" s="1058" t="e">
        <f t="shared" si="10"/>
        <v>#REF!</v>
      </c>
      <c r="DA53" s="1060" t="e">
        <f>SUM(CI53:CK53,CM53,'Реестр ППС'!#REF!,' "Вуз зож"'!S53)</f>
        <v>#REF!</v>
      </c>
      <c r="DB53" s="1060" t="e">
        <f>SUM(CQ53:CS53,CU53,'Реестр ППС'!#REF!,' "Вуз зож"'!T53)</f>
        <v>#REF!</v>
      </c>
      <c r="DC53" s="1058" t="e">
        <f t="shared" si="37"/>
        <v>#REF!</v>
      </c>
      <c r="DD53" s="1054"/>
      <c r="DE53" s="1061" t="e">
        <f t="shared" si="43"/>
        <v>#DIV/0!</v>
      </c>
      <c r="DF53" s="1061" t="e">
        <f t="shared" si="44"/>
        <v>#DIV/0!</v>
      </c>
      <c r="DG53" s="1061" t="e">
        <f t="shared" si="45"/>
        <v>#DIV/0!</v>
      </c>
      <c r="DH53" s="1061" t="e">
        <f t="shared" si="46"/>
        <v>#DIV/0!</v>
      </c>
      <c r="DI53" s="1061" t="e">
        <f t="shared" si="47"/>
        <v>#DIV/0!</v>
      </c>
      <c r="DJ53" s="1061" t="e">
        <f t="shared" si="48"/>
        <v>#DIV/0!</v>
      </c>
      <c r="DK53" s="1061" t="e">
        <f t="shared" si="49"/>
        <v>#DIV/0!</v>
      </c>
      <c r="DL53" s="1062" t="str">
        <f t="shared" si="4"/>
        <v>Биологии, гистологии, эмбриологии и цитологии</v>
      </c>
      <c r="DM53" s="1055" t="str">
        <f t="shared" si="18"/>
        <v>ОЗДОРОВЬЯ</v>
      </c>
      <c r="DN53" s="1504" t="e">
        <f t="shared" si="38"/>
        <v>#REF!</v>
      </c>
      <c r="DO53" s="338"/>
      <c r="DP53" s="338"/>
      <c r="DQ53" s="338"/>
      <c r="DR53" s="318"/>
      <c r="DS53" s="318"/>
      <c r="DT53" s="318"/>
      <c r="DU53" s="318"/>
      <c r="DV53" s="318"/>
      <c r="DW53" s="318"/>
      <c r="DX53" s="318"/>
    </row>
    <row r="54" spans="1:128" s="215" customFormat="1" ht="15.75" thickBot="1" x14ac:dyDescent="0.25">
      <c r="A54" s="550" t="s">
        <v>382</v>
      </c>
      <c r="B54" s="340" t="s">
        <v>7</v>
      </c>
      <c r="C54" s="482">
        <f>Кадры!C54</f>
        <v>0</v>
      </c>
      <c r="D54" s="2079" t="str">
        <f t="shared" si="19"/>
        <v>ОЗДОРОВЬЯ</v>
      </c>
      <c r="E54" s="2074" t="s">
        <v>16</v>
      </c>
      <c r="F54" s="341" t="s">
        <v>31</v>
      </c>
      <c r="G54" s="909"/>
      <c r="H54" s="817">
        <f t="shared" si="90"/>
        <v>100</v>
      </c>
      <c r="I54" s="1748"/>
      <c r="J54" s="860">
        <f t="shared" si="91"/>
        <v>100</v>
      </c>
      <c r="K54" s="920">
        <f>МероприятияВуза!$AR54+МероприятияВуза!$AQ54</f>
        <v>0</v>
      </c>
      <c r="L54" s="919">
        <f>МероприятияВуза!$G54+МероприятияВуза!$H54</f>
        <v>0</v>
      </c>
      <c r="M54" s="925" t="str">
        <f t="shared" si="20"/>
        <v>нет</v>
      </c>
      <c r="N54" s="923">
        <f>МероприятияВуза!$AS54</f>
        <v>0</v>
      </c>
      <c r="O54" s="919">
        <f>МероприятияВуза!$I54+МероприятияВуза!$J54</f>
        <v>0</v>
      </c>
      <c r="P54" s="925" t="str">
        <f t="shared" si="21"/>
        <v>нет</v>
      </c>
      <c r="Q54" s="1838"/>
      <c r="R54" s="817">
        <f t="shared" si="22"/>
        <v>100</v>
      </c>
      <c r="S54" s="1847"/>
      <c r="T54" s="1848"/>
      <c r="U54" s="844" t="str">
        <f t="shared" si="23"/>
        <v>нет</v>
      </c>
      <c r="V54" s="904"/>
      <c r="W54" s="909"/>
      <c r="X54" s="844" t="str">
        <f t="shared" si="7"/>
        <v>нет</v>
      </c>
      <c r="Y54" s="1857"/>
      <c r="Z54" s="1858"/>
      <c r="AA54" s="844" t="str">
        <f t="shared" si="8"/>
        <v>нет</v>
      </c>
      <c r="AB54" s="1748"/>
      <c r="AC54" s="909"/>
      <c r="AD54" s="912" t="str">
        <f t="shared" si="24"/>
        <v>нет</v>
      </c>
      <c r="AE54" s="947"/>
      <c r="AF54" s="949"/>
      <c r="AG54" s="844" t="str">
        <f t="shared" si="9"/>
        <v>нет</v>
      </c>
      <c r="AH54" s="951"/>
      <c r="AI54" s="949"/>
      <c r="AJ54" s="844" t="str">
        <f t="shared" si="25"/>
        <v>нет</v>
      </c>
      <c r="AK54" s="935">
        <f>ПрофРабота!$Q54</f>
        <v>0</v>
      </c>
      <c r="AL54" s="485">
        <f>ПрофРабота!$R54</f>
        <v>0</v>
      </c>
      <c r="AM54" s="485">
        <f>ПрофРабота!$S54</f>
        <v>0</v>
      </c>
      <c r="AN54" s="817">
        <f>ПрофРабота!$C54</f>
        <v>0</v>
      </c>
      <c r="AO54" s="923">
        <f>МероприятияВуза!$AT54</f>
        <v>0</v>
      </c>
      <c r="AP54" s="919">
        <f>МероприятияВуза!$K54</f>
        <v>0</v>
      </c>
      <c r="AQ54" s="817" t="str">
        <f t="shared" si="26"/>
        <v>нет</v>
      </c>
      <c r="AR54" s="938">
        <f>'ДПО(Финансы)'!$R54</f>
        <v>4839</v>
      </c>
      <c r="AS54" s="939">
        <f>'ДПО(Финансы)'!$D54</f>
        <v>40000</v>
      </c>
      <c r="AT54" s="510" t="e">
        <f t="shared" si="27"/>
        <v>#DIV/0!</v>
      </c>
      <c r="AU54" s="1519">
        <f t="shared" si="28"/>
        <v>12.0975</v>
      </c>
      <c r="AV54" s="938">
        <f>'ДПО(Финансы)'!$R54</f>
        <v>4839</v>
      </c>
      <c r="AW54" s="939">
        <f>'ИДО(Финансы)'!$R54</f>
        <v>0</v>
      </c>
      <c r="AX54" s="939">
        <f>'ДПО(Финансы)'!$S54</f>
        <v>14900</v>
      </c>
      <c r="AY54" s="939">
        <f>'ИДО(Финансы)'!$S54</f>
        <v>0</v>
      </c>
      <c r="AZ54" s="839" t="e">
        <f t="shared" si="92"/>
        <v>#DIV/0!</v>
      </c>
      <c r="BA54" s="1520">
        <f t="array" ref="BA54">IF(($E54="да"),IF($AX54=0,"нет",$AV54/$AX54*100-100),"нет")</f>
        <v>-67.523489932885909</v>
      </c>
      <c r="BB54" s="1521">
        <f t="array" ref="BB54">IF(($E54="да"),IF($AX54=0,"нет",$AV54/$AX54*100),"нет")</f>
        <v>32.476510067114091</v>
      </c>
      <c r="BC54" s="1522">
        <f t="shared" si="93"/>
        <v>12.0975</v>
      </c>
      <c r="BD54" s="1522" t="e">
        <f t="array" ref="BD54">IF(($E54="да"),IF($AZ54&gt;$AZ$17,$AZ54/$AZ$16*BD$16,нет),нет)</f>
        <v>#DIV/0!</v>
      </c>
      <c r="BE54" s="938">
        <f>'ИДО(Финансы)'!$R54</f>
        <v>0</v>
      </c>
      <c r="BF54" s="939">
        <f>'ИДО(Финансы)'!D54</f>
        <v>0</v>
      </c>
      <c r="BG54" s="510" t="str">
        <f t="shared" si="29"/>
        <v>нет</v>
      </c>
      <c r="BH54" s="1519" t="str">
        <f t="shared" si="30"/>
        <v>нет</v>
      </c>
      <c r="BI54" s="1523">
        <f t="array" ref="BI54">IF(($E54="да")+($F54="да"),IF((BF54+AS54)=0,"нет",(AR54+BE54)/(BF54+AS54)*100),"нет")</f>
        <v>12.0975</v>
      </c>
      <c r="BJ54" s="829">
        <f>Кадры!$I54</f>
        <v>0</v>
      </c>
      <c r="BK54" s="940">
        <f>Кадры!$O54</f>
        <v>0</v>
      </c>
      <c r="BL54" s="941">
        <f>Кадры!$K54</f>
        <v>0</v>
      </c>
      <c r="BM54" s="821" t="str">
        <f t="array" ref="BM54">IF(BL54=0,"нет",BK54/BL54*100)</f>
        <v>нет</v>
      </c>
      <c r="BN54" s="923">
        <f>Кадры!E54</f>
        <v>0</v>
      </c>
      <c r="BO54" s="941">
        <f>Кадры!$K54</f>
        <v>0</v>
      </c>
      <c r="BP54" s="343" t="str">
        <f t="shared" si="31"/>
        <v>нет</v>
      </c>
      <c r="BQ54" s="342" t="e">
        <f t="shared" si="32"/>
        <v>#DIV/0!</v>
      </c>
      <c r="BR54" s="940">
        <f>Кадры!$L54</f>
        <v>0</v>
      </c>
      <c r="BS54" s="1544">
        <f>Кадры!$J54</f>
        <v>0</v>
      </c>
      <c r="BT54" s="343">
        <f t="shared" si="33"/>
        <v>0</v>
      </c>
      <c r="BU54" s="817">
        <f t="shared" si="34"/>
        <v>100</v>
      </c>
      <c r="BV54" s="923">
        <f>Кадры!$D54</f>
        <v>0</v>
      </c>
      <c r="BW54" s="919">
        <f>Кадры!$F54</f>
        <v>0</v>
      </c>
      <c r="BX54" s="817" t="e">
        <f t="shared" si="35"/>
        <v>#DIV/0!</v>
      </c>
      <c r="BY54" s="940">
        <f>Кадры!$P54</f>
        <v>0</v>
      </c>
      <c r="BZ54" s="941">
        <f>Кадры!$L54</f>
        <v>0</v>
      </c>
      <c r="CA54" s="342" t="str">
        <f t="shared" si="36"/>
        <v>нет</v>
      </c>
      <c r="CC54" s="339" t="s">
        <v>333</v>
      </c>
      <c r="CD54" s="268"/>
      <c r="CE54" s="961"/>
      <c r="CG54" s="335" t="e">
        <f t="array" ref="CG54">SUM(IF($F54:$CA54=нет,0,IF($F54:$CA54&gt;=$F$16:$CA$16,$F$16:$CA$16,IF($F54:$CA54&lt;$F$17:$CA$17,0,$F54:$CA54)))*$F$11:$CA$11*($F$104:$CA$104=CG$4)/$F$16:$CA$16*($F$106:$CA$115*($B$106:$B$115=$B54)*($A$106:$A$115=$A$104)))</f>
        <v>#DIV/0!</v>
      </c>
      <c r="CH54" s="335" t="e">
        <f t="array" ref="CH54">SUM(IF($F54:$CA54=нет,0,IF($F54:$CA54&gt;=$F$16:$CA$16,$F$16:$CA$16,IF($F54:$CA54&lt;$F$17:$CA$17,0,$F54:$CA54)))*$F$11:$CA$11*($F$104:$CA$104=CH$4)/$F$16:$CA$16*($F$106:$CA$115*($B$106:$B$115=$B54)*($A$106:$A$115=$A$104)))</f>
        <v>#DIV/0!</v>
      </c>
      <c r="CI54" s="335" t="e">
        <f t="array" ref="CI54">SUM(IF($F54:$CA54=нет,0,IF($F54:$CA54&gt;=$F$16:$CA$16,$F$16:$CA$16,IF($F54:$CA54&lt;$F$17:$CA$17,0,$F54:$CA54)))*$F$11:$CA$11*($F$105:$CA$105=CI$4)/$F$16:$CA$16*($F$106:$CA$115*($B$106:$B$115=$B54)*($A$106:$A$115=$A$104)))</f>
        <v>#DIV/0!</v>
      </c>
      <c r="CJ54" s="1072" t="e">
        <f>'НУ(ВИД3)'!D55</f>
        <v>#DIV/0!</v>
      </c>
      <c r="CK54" s="335" t="e">
        <f t="array" ref="CK54">SUM(IF($F54:$CA54=нет,0,IF($F54:$CA54&gt;=$F$16:$CA$16,$F$16:$CA$16,IF($F54:$CA54&lt;$F$17:$CA$17,0,$F54:$CA54)))*$F$11:$CA$11*($F$104:$CA$104=CK$4)/$F$16:$CA$16*($F$106:$CA$115*($B$106:$B$115=$B54)*($A$106:$A$115=$A$104)))</f>
        <v>#DIV/0!</v>
      </c>
      <c r="CL54" s="335" t="e">
        <f t="array" ref="CL54">SUM(IF($F54:$CA54=нет,0,IF($F54:$CA54&gt;=$F$16:$CA$16,$F$16:$CA$16,IF($F54:$CA54&lt;$F$17:$CA$17,0,$F54:$CA54)))*$F$11:$CA$11*($F$104:$CA$104=CL$4)/$F$16:$CA$16*($F$106:$CA$115*($B$106:$B$115=$B54)*($A$106:$A$115=$A$104)))</f>
        <v>#DIV/0!</v>
      </c>
      <c r="CM54" s="335" t="e">
        <f t="array" ref="CM54">SUM(IF($F54:$CA54=нет,0,IF($F54:$CA54&gt;=$F$16:$CA$16,$F$16:$CA$16,IF($F54:$CA54&lt;$F$17:$CA$17,0,$F54:$CA54)))*$F$11:$CA$11*($F$104:$CA$104=CM$4)/$F$16:$CA$16*($F$106:$CA$115*($B$106:$B$115=$B54)*($A$106:$A$115=$A$104)))</f>
        <v>#DIV/0!</v>
      </c>
      <c r="CO54" s="1000" t="e">
        <f t="array" ref="CO54">SUM(IF($F54:$CA54=нет,0,100)*$F$11:$CA$11*($F$104:$CA$104=CO$4)/100*($F$106:$CA$115*($B$106:$B$115=$B54)*($A$106:$A$115=$A$104)))</f>
        <v>#DIV/0!</v>
      </c>
      <c r="CP54" s="1000" t="e">
        <f t="array" ref="CP54">SUM(IF($F54:$CA54=нет,0,100)*$F$11:$CA$11*($F$104:$CA$104=CP$4)/100*($F$106:$CA$115*($B$106:$B$115=$B54)*($A$106:$A$115=$A$104)))</f>
        <v>#DIV/0!</v>
      </c>
      <c r="CQ54" s="1000" t="e">
        <f t="array" ref="CQ54">SUM(IF($F54:$CA54=нет,0,100)*$F$11:$CA$11*($F$105:$CA$105=CQ$4)/100*($F$106:$CA$115*($B$106:$B$115=$B54)*($A$106:$A$115=$A$104)))</f>
        <v>#DIV/0!</v>
      </c>
      <c r="CR54" s="1057">
        <f>'НУ(ВИД3)'!E55</f>
        <v>21</v>
      </c>
      <c r="CS54" s="1000" t="e">
        <f t="array" ref="CS54">SUM(IF($F54:$CA54=нет,0,100)*$F$11:$CA$11*($F$104:$CA$104=CS$4)/100*($F$106:$CA$115*($B$106:$B$115=$B54)*($A$106:$A$115=$A$104)))</f>
        <v>#DIV/0!</v>
      </c>
      <c r="CT54" s="1000" t="e">
        <f t="array" ref="CT54">SUM(IF($F54:$CA54=нет,0,100)*$F$11:$CA$11*($F$104:$CA$104=CT$4)/100*($F$106:$CA$115*($B$106:$B$115=$B54)*($A$106:$A$115=$A$104)))</f>
        <v>#DIV/0!</v>
      </c>
      <c r="CU54" s="1000" t="e">
        <f t="array" ref="CU54">SUM(IF($F54:$CA54=нет,0,100)*$F$11:$CA$11*($F$104:$CA$104=CU$4)/100*($F$106:$CA$115*($B$106:$B$115=$B54)*($A$106:$A$115=$A$104)))</f>
        <v>#DIV/0!</v>
      </c>
      <c r="CW54" s="333" t="e">
        <f>SUM(CG54:CH54,CJ54:CM54,'Реестр ППС'!#REF!,' "Вуз зож"'!S54)</f>
        <v>#REF!</v>
      </c>
      <c r="CX54" s="333" t="e">
        <f>SUM(CO54:CP54,CR54:CU54,'Реестр ППС'!#REF!,' "Вуз зож"'!T54)</f>
        <v>#REF!</v>
      </c>
      <c r="CY54" s="332" t="e">
        <f t="shared" si="10"/>
        <v>#REF!</v>
      </c>
      <c r="DA54" s="336" t="e">
        <f>SUM(CI54:CK54,CM54,'Реестр ППС'!#REF!,' "Вуз зож"'!S54)</f>
        <v>#REF!</v>
      </c>
      <c r="DB54" s="336" t="e">
        <f>SUM(CQ54:CS54,CU54,'Реестр ППС'!#REF!,' "Вуз зож"'!T54)</f>
        <v>#REF!</v>
      </c>
      <c r="DC54" s="332" t="e">
        <f t="shared" si="37"/>
        <v>#REF!</v>
      </c>
      <c r="DD54" s="961"/>
      <c r="DE54" s="337" t="e">
        <f t="shared" si="43"/>
        <v>#DIV/0!</v>
      </c>
      <c r="DF54" s="337" t="e">
        <f t="shared" si="44"/>
        <v>#DIV/0!</v>
      </c>
      <c r="DG54" s="337" t="e">
        <f t="shared" si="45"/>
        <v>#DIV/0!</v>
      </c>
      <c r="DH54" s="337" t="e">
        <f t="shared" si="46"/>
        <v>#DIV/0!</v>
      </c>
      <c r="DI54" s="337" t="e">
        <f t="shared" si="47"/>
        <v>#DIV/0!</v>
      </c>
      <c r="DJ54" s="337" t="e">
        <f t="shared" si="48"/>
        <v>#DIV/0!</v>
      </c>
      <c r="DK54" s="337" t="e">
        <f t="shared" si="49"/>
        <v>#DIV/0!</v>
      </c>
      <c r="DL54" s="334" t="str">
        <f t="shared" si="4"/>
        <v>Гигиены и основ экологии</v>
      </c>
      <c r="DM54" s="215" t="str">
        <f t="shared" si="18"/>
        <v>ОЗДОРОВЬЯ</v>
      </c>
      <c r="DN54" s="1505" t="e">
        <f t="shared" si="38"/>
        <v>#REF!</v>
      </c>
      <c r="DO54" s="338"/>
      <c r="DP54" s="338"/>
      <c r="DQ54" s="338"/>
      <c r="DR54" s="318"/>
      <c r="DS54" s="318"/>
      <c r="DT54" s="318"/>
      <c r="DU54" s="318"/>
      <c r="DV54" s="318"/>
      <c r="DW54" s="318"/>
      <c r="DX54" s="318"/>
    </row>
    <row r="55" spans="1:128" s="215" customFormat="1" ht="15.75" thickBot="1" x14ac:dyDescent="0.25">
      <c r="A55" s="550" t="s">
        <v>110</v>
      </c>
      <c r="B55" s="340" t="s">
        <v>7</v>
      </c>
      <c r="C55" s="482">
        <f>Кадры!C55</f>
        <v>0</v>
      </c>
      <c r="D55" s="2079" t="str">
        <f t="shared" si="19"/>
        <v>ОЗДОРОВЬЯ</v>
      </c>
      <c r="E55" s="2074" t="s">
        <v>16</v>
      </c>
      <c r="F55" s="341" t="s">
        <v>31</v>
      </c>
      <c r="G55" s="909"/>
      <c r="H55" s="817">
        <f t="shared" si="90"/>
        <v>100</v>
      </c>
      <c r="I55" s="1748"/>
      <c r="J55" s="860">
        <f t="shared" si="91"/>
        <v>100</v>
      </c>
      <c r="K55" s="920">
        <f>МероприятияВуза!$AR55+МероприятияВуза!$AQ55</f>
        <v>0</v>
      </c>
      <c r="L55" s="919">
        <f>МероприятияВуза!$G55+МероприятияВуза!$H55</f>
        <v>0</v>
      </c>
      <c r="M55" s="925" t="str">
        <f t="shared" si="20"/>
        <v>нет</v>
      </c>
      <c r="N55" s="923">
        <f>МероприятияВуза!$AS55</f>
        <v>0</v>
      </c>
      <c r="O55" s="919">
        <f>МероприятияВуза!$I55+МероприятияВуза!$J55</f>
        <v>0</v>
      </c>
      <c r="P55" s="925" t="str">
        <f t="shared" si="21"/>
        <v>нет</v>
      </c>
      <c r="Q55" s="1838"/>
      <c r="R55" s="817">
        <f t="shared" si="22"/>
        <v>100</v>
      </c>
      <c r="S55" s="1847"/>
      <c r="T55" s="1848"/>
      <c r="U55" s="844" t="str">
        <f t="shared" si="23"/>
        <v>нет</v>
      </c>
      <c r="V55" s="904"/>
      <c r="W55" s="909"/>
      <c r="X55" s="844" t="str">
        <f t="shared" si="7"/>
        <v>нет</v>
      </c>
      <c r="Y55" s="1857"/>
      <c r="Z55" s="1858"/>
      <c r="AA55" s="844" t="str">
        <f t="shared" si="8"/>
        <v>нет</v>
      </c>
      <c r="AB55" s="1748"/>
      <c r="AC55" s="909"/>
      <c r="AD55" s="912" t="str">
        <f t="shared" si="24"/>
        <v>нет</v>
      </c>
      <c r="AE55" s="947"/>
      <c r="AF55" s="949"/>
      <c r="AG55" s="844" t="str">
        <f t="shared" si="9"/>
        <v>нет</v>
      </c>
      <c r="AH55" s="951"/>
      <c r="AI55" s="949"/>
      <c r="AJ55" s="844" t="str">
        <f t="shared" si="25"/>
        <v>нет</v>
      </c>
      <c r="AK55" s="935">
        <f>ПрофРабота!$Q55</f>
        <v>0</v>
      </c>
      <c r="AL55" s="485">
        <f>ПрофРабота!$R55</f>
        <v>0</v>
      </c>
      <c r="AM55" s="485">
        <f>ПрофРабота!$S55</f>
        <v>0</v>
      </c>
      <c r="AN55" s="817">
        <f>ПрофРабота!$C55</f>
        <v>0</v>
      </c>
      <c r="AO55" s="923">
        <f>МероприятияВуза!$AT55</f>
        <v>0</v>
      </c>
      <c r="AP55" s="919">
        <f>МероприятияВуза!$K55</f>
        <v>0</v>
      </c>
      <c r="AQ55" s="817" t="str">
        <f t="shared" si="26"/>
        <v>нет</v>
      </c>
      <c r="AR55" s="938">
        <f>'ДПО(Финансы)'!$R55</f>
        <v>363400</v>
      </c>
      <c r="AS55" s="939">
        <f>'ДПО(Финансы)'!$D55</f>
        <v>185000</v>
      </c>
      <c r="AT55" s="510" t="e">
        <f t="shared" si="27"/>
        <v>#DIV/0!</v>
      </c>
      <c r="AU55" s="1519">
        <f t="shared" si="28"/>
        <v>196.43243243243242</v>
      </c>
      <c r="AV55" s="938">
        <f>'ДПО(Финансы)'!$R55</f>
        <v>363400</v>
      </c>
      <c r="AW55" s="939">
        <f>'ИДО(Финансы)'!$R55</f>
        <v>0</v>
      </c>
      <c r="AX55" s="939">
        <f>'ДПО(Финансы)'!$S55</f>
        <v>660500</v>
      </c>
      <c r="AY55" s="939">
        <f>'ИДО(Финансы)'!$S55</f>
        <v>0</v>
      </c>
      <c r="AZ55" s="839" t="e">
        <f t="shared" si="92"/>
        <v>#DIV/0!</v>
      </c>
      <c r="BA55" s="1520">
        <f t="array" ref="BA55">IF(($E55="да"),IF($AX55=0,"нет",$AV55/$AX55*100-100),"нет")</f>
        <v>-44.981074943224833</v>
      </c>
      <c r="BB55" s="1521">
        <f t="array" ref="BB55">IF(($E55="да"),IF($AX55=0,"нет",$AV55/$AX55*100),"нет")</f>
        <v>55.018925056775167</v>
      </c>
      <c r="BC55" s="1522">
        <f t="shared" si="93"/>
        <v>196.43243243243242</v>
      </c>
      <c r="BD55" s="1522" t="e">
        <f t="array" ref="BD55">IF(($E55="да"),IF($AZ55&gt;$AZ$17,$AZ55/$AZ$16*BD$16,нет),нет)</f>
        <v>#DIV/0!</v>
      </c>
      <c r="BE55" s="938">
        <f>'ИДО(Финансы)'!$R55</f>
        <v>0</v>
      </c>
      <c r="BF55" s="939">
        <f>'ИДО(Финансы)'!D55</f>
        <v>0</v>
      </c>
      <c r="BG55" s="510" t="str">
        <f t="shared" si="29"/>
        <v>нет</v>
      </c>
      <c r="BH55" s="1519" t="str">
        <f t="shared" si="30"/>
        <v>нет</v>
      </c>
      <c r="BI55" s="1523">
        <f t="array" ref="BI55">IF(($E55="да")+($F55="да"),IF((BF55+AS55)=0,"нет",(AR55+BE55)/(BF55+AS55)*100),"нет")</f>
        <v>196.43243243243242</v>
      </c>
      <c r="BJ55" s="829">
        <f>Кадры!$I55</f>
        <v>0</v>
      </c>
      <c r="BK55" s="940">
        <f>Кадры!$O55</f>
        <v>0</v>
      </c>
      <c r="BL55" s="941">
        <f>Кадры!$K55</f>
        <v>0</v>
      </c>
      <c r="BM55" s="821" t="str">
        <f t="array" ref="BM55">IF(BL55=0,"нет",BK55/BL55*100)</f>
        <v>нет</v>
      </c>
      <c r="BN55" s="923">
        <f>Кадры!E55</f>
        <v>0</v>
      </c>
      <c r="BO55" s="941">
        <f>Кадры!$K55</f>
        <v>0</v>
      </c>
      <c r="BP55" s="343" t="str">
        <f t="shared" si="31"/>
        <v>нет</v>
      </c>
      <c r="BQ55" s="342" t="e">
        <f t="shared" si="32"/>
        <v>#DIV/0!</v>
      </c>
      <c r="BR55" s="940">
        <f>Кадры!$L55</f>
        <v>0</v>
      </c>
      <c r="BS55" s="1544">
        <f>Кадры!$J55</f>
        <v>0</v>
      </c>
      <c r="BT55" s="343">
        <f t="shared" si="33"/>
        <v>0</v>
      </c>
      <c r="BU55" s="817">
        <f t="shared" si="34"/>
        <v>100</v>
      </c>
      <c r="BV55" s="923">
        <f>Кадры!$D55</f>
        <v>0</v>
      </c>
      <c r="BW55" s="919">
        <f>Кадры!$F55</f>
        <v>0</v>
      </c>
      <c r="BX55" s="817" t="e">
        <f t="shared" si="35"/>
        <v>#DIV/0!</v>
      </c>
      <c r="BY55" s="940">
        <f>Кадры!$P55</f>
        <v>0</v>
      </c>
      <c r="BZ55" s="941">
        <f>Кадры!$L55</f>
        <v>0</v>
      </c>
      <c r="CA55" s="342" t="str">
        <f t="shared" si="36"/>
        <v>нет</v>
      </c>
      <c r="CC55" s="339" t="s">
        <v>333</v>
      </c>
      <c r="CD55" s="268"/>
      <c r="CE55" s="961"/>
      <c r="CG55" s="335" t="e">
        <f t="array" ref="CG55">SUM(IF($F55:$CA55=нет,0,IF($F55:$CA55&gt;=$F$16:$CA$16,$F$16:$CA$16,IF($F55:$CA55&lt;$F$17:$CA$17,0,$F55:$CA55)))*$F$11:$CA$11*($F$104:$CA$104=CG$4)/$F$16:$CA$16*($F$106:$CA$115*($B$106:$B$115=$B55)*($A$106:$A$115=$A$104)))</f>
        <v>#DIV/0!</v>
      </c>
      <c r="CH55" s="335" t="e">
        <f t="array" ref="CH55">SUM(IF($F55:$CA55=нет,0,IF($F55:$CA55&gt;=$F$16:$CA$16,$F$16:$CA$16,IF($F55:$CA55&lt;$F$17:$CA$17,0,$F55:$CA55)))*$F$11:$CA$11*($F$104:$CA$104=CH$4)/$F$16:$CA$16*($F$106:$CA$115*($B$106:$B$115=$B55)*($A$106:$A$115=$A$104)))</f>
        <v>#DIV/0!</v>
      </c>
      <c r="CI55" s="335" t="e">
        <f t="array" ref="CI55">SUM(IF($F55:$CA55=нет,0,IF($F55:$CA55&gt;=$F$16:$CA$16,$F$16:$CA$16,IF($F55:$CA55&lt;$F$17:$CA$17,0,$F55:$CA55)))*$F$11:$CA$11*($F$105:$CA$105=CI$4)/$F$16:$CA$16*($F$106:$CA$115*($B$106:$B$115=$B55)*($A$106:$A$115=$A$104)))</f>
        <v>#DIV/0!</v>
      </c>
      <c r="CJ55" s="1072" t="e">
        <f>'НУ(ВИД3)'!D56</f>
        <v>#DIV/0!</v>
      </c>
      <c r="CK55" s="335" t="e">
        <f t="array" ref="CK55">SUM(IF($F55:$CA55=нет,0,IF($F55:$CA55&gt;=$F$16:$CA$16,$F$16:$CA$16,IF($F55:$CA55&lt;$F$17:$CA$17,0,$F55:$CA55)))*$F$11:$CA$11*($F$104:$CA$104=CK$4)/$F$16:$CA$16*($F$106:$CA$115*($B$106:$B$115=$B55)*($A$106:$A$115=$A$104)))</f>
        <v>#DIV/0!</v>
      </c>
      <c r="CL55" s="335" t="e">
        <f t="array" ref="CL55">SUM(IF($F55:$CA55=нет,0,IF($F55:$CA55&gt;=$F$16:$CA$16,$F$16:$CA$16,IF($F55:$CA55&lt;$F$17:$CA$17,0,$F55:$CA55)))*$F$11:$CA$11*($F$104:$CA$104=CL$4)/$F$16:$CA$16*($F$106:$CA$115*($B$106:$B$115=$B55)*($A$106:$A$115=$A$104)))</f>
        <v>#DIV/0!</v>
      </c>
      <c r="CM55" s="335" t="e">
        <f t="array" ref="CM55">SUM(IF($F55:$CA55=нет,0,IF($F55:$CA55&gt;=$F$16:$CA$16,$F$16:$CA$16,IF($F55:$CA55&lt;$F$17:$CA$17,0,$F55:$CA55)))*$F$11:$CA$11*($F$104:$CA$104=CM$4)/$F$16:$CA$16*($F$106:$CA$115*($B$106:$B$115=$B55)*($A$106:$A$115=$A$104)))</f>
        <v>#DIV/0!</v>
      </c>
      <c r="CO55" s="1000" t="e">
        <f t="array" ref="CO55">SUM(IF($F55:$CA55=нет,0,100)*$F$11:$CA$11*($F$104:$CA$104=CO$4)/100*($F$106:$CA$115*($B$106:$B$115=$B55)*($A$106:$A$115=$A$104)))</f>
        <v>#DIV/0!</v>
      </c>
      <c r="CP55" s="1000" t="e">
        <f t="array" ref="CP55">SUM(IF($F55:$CA55=нет,0,100)*$F$11:$CA$11*($F$104:$CA$104=CP$4)/100*($F$106:$CA$115*($B$106:$B$115=$B55)*($A$106:$A$115=$A$104)))</f>
        <v>#DIV/0!</v>
      </c>
      <c r="CQ55" s="1000" t="e">
        <f t="array" ref="CQ55">SUM(IF($F55:$CA55=нет,0,100)*$F$11:$CA$11*($F$105:$CA$105=CQ$4)/100*($F$106:$CA$115*($B$106:$B$115=$B55)*($A$106:$A$115=$A$104)))</f>
        <v>#DIV/0!</v>
      </c>
      <c r="CR55" s="1057">
        <f>'НУ(ВИД3)'!E56</f>
        <v>21</v>
      </c>
      <c r="CS55" s="1000" t="e">
        <f t="array" ref="CS55">SUM(IF($F55:$CA55=нет,0,100)*$F$11:$CA$11*($F$104:$CA$104=CS$4)/100*($F$106:$CA$115*($B$106:$B$115=$B55)*($A$106:$A$115=$A$104)))</f>
        <v>#DIV/0!</v>
      </c>
      <c r="CT55" s="1000" t="e">
        <f t="array" ref="CT55">SUM(IF($F55:$CA55=нет,0,100)*$F$11:$CA$11*($F$104:$CA$104=CT$4)/100*($F$106:$CA$115*($B$106:$B$115=$B55)*($A$106:$A$115=$A$104)))</f>
        <v>#DIV/0!</v>
      </c>
      <c r="CU55" s="1000" t="e">
        <f t="array" ref="CU55">SUM(IF($F55:$CA55=нет,0,100)*$F$11:$CA$11*($F$104:$CA$104=CU$4)/100*($F$106:$CA$115*($B$106:$B$115=$B55)*($A$106:$A$115=$A$104)))</f>
        <v>#DIV/0!</v>
      </c>
      <c r="CW55" s="333" t="e">
        <f>SUM(CG55:CH55,CJ55:CM55,'Реестр ППС'!#REF!,' "Вуз зож"'!S55)</f>
        <v>#REF!</v>
      </c>
      <c r="CX55" s="333" t="e">
        <f>SUM(CO55:CP55,CR55:CU55,'Реестр ППС'!#REF!,' "Вуз зож"'!T55)</f>
        <v>#REF!</v>
      </c>
      <c r="CY55" s="332" t="e">
        <f t="shared" si="10"/>
        <v>#REF!</v>
      </c>
      <c r="DA55" s="336" t="e">
        <f>SUM(CI55:CK55,CM55,'Реестр ППС'!#REF!,' "Вуз зож"'!S55)</f>
        <v>#REF!</v>
      </c>
      <c r="DB55" s="336" t="e">
        <f>SUM(CQ55:CS55,CU55,'Реестр ППС'!#REF!,' "Вуз зож"'!T55)</f>
        <v>#REF!</v>
      </c>
      <c r="DC55" s="332" t="e">
        <f t="shared" si="37"/>
        <v>#REF!</v>
      </c>
      <c r="DD55" s="961"/>
      <c r="DE55" s="337" t="e">
        <f t="shared" si="43"/>
        <v>#DIV/0!</v>
      </c>
      <c r="DF55" s="337" t="e">
        <f t="shared" si="44"/>
        <v>#DIV/0!</v>
      </c>
      <c r="DG55" s="337" t="e">
        <f t="shared" si="45"/>
        <v>#DIV/0!</v>
      </c>
      <c r="DH55" s="337" t="e">
        <f t="shared" si="46"/>
        <v>#DIV/0!</v>
      </c>
      <c r="DI55" s="337" t="e">
        <f t="shared" si="47"/>
        <v>#DIV/0!</v>
      </c>
      <c r="DJ55" s="337" t="e">
        <f t="shared" si="48"/>
        <v>#DIV/0!</v>
      </c>
      <c r="DK55" s="337" t="e">
        <f t="shared" si="49"/>
        <v>#DIV/0!</v>
      </c>
      <c r="DL55" s="334" t="str">
        <f t="shared" si="4"/>
        <v>Дерматовенерологии, косметологии и иммунологии</v>
      </c>
      <c r="DM55" s="215" t="str">
        <f t="shared" ref="DM55:DM77" si="94">D55</f>
        <v>ОЗДОРОВЬЯ</v>
      </c>
      <c r="DN55" s="1505" t="e">
        <f t="shared" si="38"/>
        <v>#REF!</v>
      </c>
      <c r="DO55" s="338"/>
      <c r="DP55" s="338"/>
      <c r="DQ55" s="338"/>
      <c r="DR55" s="318"/>
      <c r="DS55" s="318"/>
      <c r="DT55" s="318"/>
      <c r="DU55" s="318"/>
      <c r="DV55" s="318"/>
      <c r="DW55" s="318"/>
      <c r="DX55" s="318"/>
    </row>
    <row r="56" spans="1:128" s="215" customFormat="1" ht="15.75" thickBot="1" x14ac:dyDescent="0.25">
      <c r="A56" s="550" t="s">
        <v>381</v>
      </c>
      <c r="B56" s="340" t="s">
        <v>7</v>
      </c>
      <c r="C56" s="482">
        <f>Кадры!C56</f>
        <v>0</v>
      </c>
      <c r="D56" s="2079" t="str">
        <f t="shared" si="19"/>
        <v>ОЗДОРОВЬЯ</v>
      </c>
      <c r="E56" s="2074" t="s">
        <v>16</v>
      </c>
      <c r="F56" s="341" t="s">
        <v>31</v>
      </c>
      <c r="G56" s="909"/>
      <c r="H56" s="817">
        <f t="shared" si="90"/>
        <v>100</v>
      </c>
      <c r="I56" s="1748"/>
      <c r="J56" s="860">
        <f t="shared" si="91"/>
        <v>100</v>
      </c>
      <c r="K56" s="920">
        <f>МероприятияВуза!$AR56+МероприятияВуза!$AQ56</f>
        <v>0</v>
      </c>
      <c r="L56" s="919">
        <f>МероприятияВуза!$G56+МероприятияВуза!$H56</f>
        <v>0</v>
      </c>
      <c r="M56" s="925" t="str">
        <f t="shared" si="20"/>
        <v>нет</v>
      </c>
      <c r="N56" s="923">
        <f>МероприятияВуза!$AS56</f>
        <v>0</v>
      </c>
      <c r="O56" s="919">
        <f>МероприятияВуза!$I56+МероприятияВуза!$J56</f>
        <v>0</v>
      </c>
      <c r="P56" s="925" t="str">
        <f t="shared" si="21"/>
        <v>нет</v>
      </c>
      <c r="Q56" s="1838"/>
      <c r="R56" s="817">
        <f t="shared" si="22"/>
        <v>100</v>
      </c>
      <c r="S56" s="1847"/>
      <c r="T56" s="1848"/>
      <c r="U56" s="844" t="str">
        <f t="shared" si="23"/>
        <v>нет</v>
      </c>
      <c r="V56" s="904"/>
      <c r="W56" s="909"/>
      <c r="X56" s="844" t="str">
        <f t="shared" si="7"/>
        <v>нет</v>
      </c>
      <c r="Y56" s="1857"/>
      <c r="Z56" s="1858"/>
      <c r="AA56" s="844" t="str">
        <f t="shared" si="8"/>
        <v>нет</v>
      </c>
      <c r="AB56" s="1748"/>
      <c r="AC56" s="909"/>
      <c r="AD56" s="912" t="str">
        <f t="shared" si="24"/>
        <v>нет</v>
      </c>
      <c r="AE56" s="947"/>
      <c r="AF56" s="949"/>
      <c r="AG56" s="844" t="str">
        <f t="shared" si="9"/>
        <v>нет</v>
      </c>
      <c r="AH56" s="951"/>
      <c r="AI56" s="949"/>
      <c r="AJ56" s="844" t="str">
        <f t="shared" si="25"/>
        <v>нет</v>
      </c>
      <c r="AK56" s="935">
        <f>ПрофРабота!$Q56</f>
        <v>0</v>
      </c>
      <c r="AL56" s="485">
        <f>ПрофРабота!$R56</f>
        <v>0</v>
      </c>
      <c r="AM56" s="485">
        <f>ПрофРабота!$S56</f>
        <v>0</v>
      </c>
      <c r="AN56" s="817">
        <f>ПрофРабота!$C56</f>
        <v>0</v>
      </c>
      <c r="AO56" s="923">
        <f>МероприятияВуза!$AT56</f>
        <v>0</v>
      </c>
      <c r="AP56" s="919">
        <f>МероприятияВуза!$K56</f>
        <v>0</v>
      </c>
      <c r="AQ56" s="817" t="str">
        <f t="shared" si="26"/>
        <v>нет</v>
      </c>
      <c r="AR56" s="938">
        <f>'ДПО(Финансы)'!$R56</f>
        <v>800</v>
      </c>
      <c r="AS56" s="939">
        <f>'ДПО(Финансы)'!$D56</f>
        <v>45000</v>
      </c>
      <c r="AT56" s="510" t="e">
        <f t="shared" si="27"/>
        <v>#DIV/0!</v>
      </c>
      <c r="AU56" s="1519">
        <f t="shared" si="28"/>
        <v>1.7777777777777777</v>
      </c>
      <c r="AV56" s="938">
        <f>'ДПО(Финансы)'!$R56</f>
        <v>800</v>
      </c>
      <c r="AW56" s="939">
        <f>'ИДО(Финансы)'!$R56</f>
        <v>0</v>
      </c>
      <c r="AX56" s="939">
        <f>'ДПО(Финансы)'!$S56</f>
        <v>107200</v>
      </c>
      <c r="AY56" s="939">
        <f>'ИДО(Финансы)'!$S56</f>
        <v>0</v>
      </c>
      <c r="AZ56" s="839" t="e">
        <f t="shared" si="92"/>
        <v>#DIV/0!</v>
      </c>
      <c r="BA56" s="1520">
        <f t="array" ref="BA56">IF(($E56="да"),IF($AX56=0,"нет",$AV56/$AX56*100-100),"нет")</f>
        <v>-99.253731343283576</v>
      </c>
      <c r="BB56" s="1521">
        <f t="array" ref="BB56">IF(($E56="да"),IF($AX56=0,"нет",$AV56/$AX56*100),"нет")</f>
        <v>0.74626865671641784</v>
      </c>
      <c r="BC56" s="1522">
        <f t="shared" si="93"/>
        <v>1.7777777777777777</v>
      </c>
      <c r="BD56" s="1522" t="e">
        <f t="array" ref="BD56">IF(($E56="да"),IF($AZ56&gt;$AZ$17,$AZ56/$AZ$16*BD$16,нет),нет)</f>
        <v>#DIV/0!</v>
      </c>
      <c r="BE56" s="938">
        <f>'ИДО(Финансы)'!$R56</f>
        <v>0</v>
      </c>
      <c r="BF56" s="939">
        <f>'ИДО(Финансы)'!D56</f>
        <v>0</v>
      </c>
      <c r="BG56" s="510" t="str">
        <f t="shared" si="29"/>
        <v>нет</v>
      </c>
      <c r="BH56" s="1519" t="str">
        <f t="shared" si="30"/>
        <v>нет</v>
      </c>
      <c r="BI56" s="1523">
        <f t="array" ref="BI56">IF(($E56="да")+($F56="да"),IF((BF56+AS56)=0,"нет",(AR56+BE56)/(BF56+AS56)*100),"нет")</f>
        <v>1.7777777777777777</v>
      </c>
      <c r="BJ56" s="829">
        <f>Кадры!$I56</f>
        <v>0</v>
      </c>
      <c r="BK56" s="940">
        <f>Кадры!$O56</f>
        <v>0</v>
      </c>
      <c r="BL56" s="941">
        <f>Кадры!$K56</f>
        <v>0</v>
      </c>
      <c r="BM56" s="821" t="str">
        <f t="array" ref="BM56">IF(BL56=0,"нет",BK56/BL56*100)</f>
        <v>нет</v>
      </c>
      <c r="BN56" s="923">
        <f>Кадры!E56</f>
        <v>0</v>
      </c>
      <c r="BO56" s="941">
        <f>Кадры!$K56</f>
        <v>0</v>
      </c>
      <c r="BP56" s="343" t="str">
        <f t="shared" si="31"/>
        <v>нет</v>
      </c>
      <c r="BQ56" s="342" t="e">
        <f t="shared" si="32"/>
        <v>#DIV/0!</v>
      </c>
      <c r="BR56" s="940">
        <f>Кадры!$L56</f>
        <v>0</v>
      </c>
      <c r="BS56" s="1544">
        <f>Кадры!$J56</f>
        <v>0</v>
      </c>
      <c r="BT56" s="343">
        <f t="shared" si="33"/>
        <v>0</v>
      </c>
      <c r="BU56" s="817">
        <f t="shared" si="34"/>
        <v>100</v>
      </c>
      <c r="BV56" s="923">
        <f>Кадры!$D56</f>
        <v>0</v>
      </c>
      <c r="BW56" s="919">
        <f>Кадры!$F56</f>
        <v>0</v>
      </c>
      <c r="BX56" s="817" t="e">
        <f t="shared" si="35"/>
        <v>#DIV/0!</v>
      </c>
      <c r="BY56" s="940">
        <f>Кадры!$P56</f>
        <v>0</v>
      </c>
      <c r="BZ56" s="941">
        <f>Кадры!$L56</f>
        <v>0</v>
      </c>
      <c r="CA56" s="342" t="str">
        <f t="shared" si="36"/>
        <v>нет</v>
      </c>
      <c r="CC56" s="339" t="s">
        <v>333</v>
      </c>
      <c r="CD56" s="268"/>
      <c r="CE56" s="961"/>
      <c r="CG56" s="335" t="e">
        <f t="array" ref="CG56">SUM(IF($F56:$CA56=нет,0,IF($F56:$CA56&gt;=$F$16:$CA$16,$F$16:$CA$16,IF($F56:$CA56&lt;$F$17:$CA$17,0,$F56:$CA56)))*$F$11:$CA$11*($F$104:$CA$104=CG$4)/$F$16:$CA$16*($F$106:$CA$115*($B$106:$B$115=$B56)*($A$106:$A$115=$A$104)))</f>
        <v>#DIV/0!</v>
      </c>
      <c r="CH56" s="335" t="e">
        <f t="array" ref="CH56">SUM(IF($F56:$CA56=нет,0,IF($F56:$CA56&gt;=$F$16:$CA$16,$F$16:$CA$16,IF($F56:$CA56&lt;$F$17:$CA$17,0,$F56:$CA56)))*$F$11:$CA$11*($F$104:$CA$104=CH$4)/$F$16:$CA$16*($F$106:$CA$115*($B$106:$B$115=$B56)*($A$106:$A$115=$A$104)))</f>
        <v>#DIV/0!</v>
      </c>
      <c r="CI56" s="335" t="e">
        <f t="array" ref="CI56">SUM(IF($F56:$CA56=нет,0,IF($F56:$CA56&gt;=$F$16:$CA$16,$F$16:$CA$16,IF($F56:$CA56&lt;$F$17:$CA$17,0,$F56:$CA56)))*$F$11:$CA$11*($F$105:$CA$105=CI$4)/$F$16:$CA$16*($F$106:$CA$115*($B$106:$B$115=$B56)*($A$106:$A$115=$A$104)))</f>
        <v>#DIV/0!</v>
      </c>
      <c r="CJ56" s="1072" t="e">
        <f>'НУ(ВИД3)'!D57</f>
        <v>#DIV/0!</v>
      </c>
      <c r="CK56" s="335" t="e">
        <f t="array" ref="CK56">SUM(IF($F56:$CA56=нет,0,IF($F56:$CA56&gt;=$F$16:$CA$16,$F$16:$CA$16,IF($F56:$CA56&lt;$F$17:$CA$17,0,$F56:$CA56)))*$F$11:$CA$11*($F$104:$CA$104=CK$4)/$F$16:$CA$16*($F$106:$CA$115*($B$106:$B$115=$B56)*($A$106:$A$115=$A$104)))</f>
        <v>#DIV/0!</v>
      </c>
      <c r="CL56" s="335" t="e">
        <f t="array" ref="CL56">SUM(IF($F56:$CA56=нет,0,IF($F56:$CA56&gt;=$F$16:$CA$16,$F$16:$CA$16,IF($F56:$CA56&lt;$F$17:$CA$17,0,$F56:$CA56)))*$F$11:$CA$11*($F$104:$CA$104=CL$4)/$F$16:$CA$16*($F$106:$CA$115*($B$106:$B$115=$B56)*($A$106:$A$115=$A$104)))</f>
        <v>#DIV/0!</v>
      </c>
      <c r="CM56" s="335" t="e">
        <f t="array" ref="CM56">SUM(IF($F56:$CA56=нет,0,IF($F56:$CA56&gt;=$F$16:$CA$16,$F$16:$CA$16,IF($F56:$CA56&lt;$F$17:$CA$17,0,$F56:$CA56)))*$F$11:$CA$11*($F$104:$CA$104=CM$4)/$F$16:$CA$16*($F$106:$CA$115*($B$106:$B$115=$B56)*($A$106:$A$115=$A$104)))</f>
        <v>#DIV/0!</v>
      </c>
      <c r="CO56" s="1000" t="e">
        <f t="array" ref="CO56">SUM(IF($F56:$CA56=нет,0,100)*$F$11:$CA$11*($F$104:$CA$104=CO$4)/100*($F$106:$CA$115*($B$106:$B$115=$B56)*($A$106:$A$115=$A$104)))</f>
        <v>#DIV/0!</v>
      </c>
      <c r="CP56" s="1000" t="e">
        <f t="array" ref="CP56">SUM(IF($F56:$CA56=нет,0,100)*$F$11:$CA$11*($F$104:$CA$104=CP$4)/100*($F$106:$CA$115*($B$106:$B$115=$B56)*($A$106:$A$115=$A$104)))</f>
        <v>#DIV/0!</v>
      </c>
      <c r="CQ56" s="1000" t="e">
        <f t="array" ref="CQ56">SUM(IF($F56:$CA56=нет,0,100)*$F$11:$CA$11*($F$105:$CA$105=CQ$4)/100*($F$106:$CA$115*($B$106:$B$115=$B56)*($A$106:$A$115=$A$104)))</f>
        <v>#DIV/0!</v>
      </c>
      <c r="CR56" s="1057">
        <f>'НУ(ВИД3)'!E57</f>
        <v>21</v>
      </c>
      <c r="CS56" s="1000" t="e">
        <f t="array" ref="CS56">SUM(IF($F56:$CA56=нет,0,100)*$F$11:$CA$11*($F$104:$CA$104=CS$4)/100*($F$106:$CA$115*($B$106:$B$115=$B56)*($A$106:$A$115=$A$104)))</f>
        <v>#DIV/0!</v>
      </c>
      <c r="CT56" s="1000" t="e">
        <f t="array" ref="CT56">SUM(IF($F56:$CA56=нет,0,100)*$F$11:$CA$11*($F$104:$CA$104=CT$4)/100*($F$106:$CA$115*($B$106:$B$115=$B56)*($A$106:$A$115=$A$104)))</f>
        <v>#DIV/0!</v>
      </c>
      <c r="CU56" s="1000" t="e">
        <f t="array" ref="CU56">SUM(IF($F56:$CA56=нет,0,100)*$F$11:$CA$11*($F$104:$CA$104=CU$4)/100*($F$106:$CA$115*($B$106:$B$115=$B56)*($A$106:$A$115=$A$104)))</f>
        <v>#DIV/0!</v>
      </c>
      <c r="CW56" s="333" t="e">
        <f>SUM(CG56:CH56,CJ56:CM56,'Реестр ППС'!#REF!,' "Вуз зож"'!S56)</f>
        <v>#REF!</v>
      </c>
      <c r="CX56" s="333" t="e">
        <f>SUM(CO56:CP56,CR56:CU56,'Реестр ППС'!#REF!,' "Вуз зож"'!T56)</f>
        <v>#REF!</v>
      </c>
      <c r="CY56" s="332" t="e">
        <f t="shared" si="10"/>
        <v>#REF!</v>
      </c>
      <c r="DA56" s="336" t="e">
        <f>SUM(CI56:CK56,CM56,'Реестр ППС'!#REF!,' "Вуз зож"'!S56)</f>
        <v>#REF!</v>
      </c>
      <c r="DB56" s="336" t="e">
        <f>SUM(CQ56:CS56,CU56,'Реестр ППС'!#REF!,' "Вуз зож"'!T56)</f>
        <v>#REF!</v>
      </c>
      <c r="DC56" s="332" t="e">
        <f t="shared" si="37"/>
        <v>#REF!</v>
      </c>
      <c r="DD56" s="961"/>
      <c r="DE56" s="337" t="e">
        <f t="shared" si="43"/>
        <v>#DIV/0!</v>
      </c>
      <c r="DF56" s="337" t="e">
        <f t="shared" si="44"/>
        <v>#DIV/0!</v>
      </c>
      <c r="DG56" s="337" t="e">
        <f t="shared" si="45"/>
        <v>#DIV/0!</v>
      </c>
      <c r="DH56" s="337" t="e">
        <f t="shared" si="46"/>
        <v>#DIV/0!</v>
      </c>
      <c r="DI56" s="337" t="e">
        <f t="shared" si="47"/>
        <v>#DIV/0!</v>
      </c>
      <c r="DJ56" s="337" t="e">
        <f t="shared" si="48"/>
        <v>#DIV/0!</v>
      </c>
      <c r="DK56" s="337" t="e">
        <f t="shared" si="49"/>
        <v>#DIV/0!</v>
      </c>
      <c r="DL56" s="334" t="str">
        <f t="shared" ref="DL56:DL72" si="95">A56</f>
        <v>Инфекционных болезней с курсом ДПО</v>
      </c>
      <c r="DM56" s="215" t="str">
        <f t="shared" si="94"/>
        <v>ОЗДОРОВЬЯ</v>
      </c>
      <c r="DN56" s="1505" t="e">
        <f t="shared" si="38"/>
        <v>#REF!</v>
      </c>
      <c r="DO56" s="338"/>
      <c r="DP56" s="338"/>
      <c r="DQ56" s="338"/>
      <c r="DR56" s="318"/>
      <c r="DS56" s="318"/>
      <c r="DT56" s="318"/>
      <c r="DU56" s="318"/>
      <c r="DV56" s="318"/>
      <c r="DW56" s="318"/>
      <c r="DX56" s="318"/>
    </row>
    <row r="57" spans="1:128" s="215" customFormat="1" ht="15.75" thickBot="1" x14ac:dyDescent="0.25">
      <c r="A57" s="550" t="s">
        <v>377</v>
      </c>
      <c r="B57" s="340" t="s">
        <v>7</v>
      </c>
      <c r="C57" s="482">
        <f>Кадры!C57</f>
        <v>0</v>
      </c>
      <c r="D57" s="2079" t="str">
        <f t="shared" si="19"/>
        <v>ОЗДОРОВЬЯ</v>
      </c>
      <c r="E57" s="2074" t="s">
        <v>16</v>
      </c>
      <c r="F57" s="341" t="s">
        <v>31</v>
      </c>
      <c r="G57" s="909"/>
      <c r="H57" s="817">
        <f t="shared" si="90"/>
        <v>100</v>
      </c>
      <c r="I57" s="1748"/>
      <c r="J57" s="860">
        <f t="shared" si="91"/>
        <v>100</v>
      </c>
      <c r="K57" s="920">
        <f>МероприятияВуза!$AR57+МероприятияВуза!$AQ57</f>
        <v>0</v>
      </c>
      <c r="L57" s="919">
        <f>МероприятияВуза!$G57+МероприятияВуза!$H57</f>
        <v>0</v>
      </c>
      <c r="M57" s="925" t="str">
        <f t="shared" si="20"/>
        <v>нет</v>
      </c>
      <c r="N57" s="923">
        <f>МероприятияВуза!$AS57</f>
        <v>0</v>
      </c>
      <c r="O57" s="919">
        <f>МероприятияВуза!$I57+МероприятияВуза!$J57</f>
        <v>0</v>
      </c>
      <c r="P57" s="925" t="str">
        <f t="shared" si="21"/>
        <v>нет</v>
      </c>
      <c r="Q57" s="1838"/>
      <c r="R57" s="817">
        <f t="shared" si="22"/>
        <v>100</v>
      </c>
      <c r="S57" s="1847"/>
      <c r="T57" s="1848"/>
      <c r="U57" s="844" t="str">
        <f t="shared" si="23"/>
        <v>нет</v>
      </c>
      <c r="V57" s="904"/>
      <c r="W57" s="909"/>
      <c r="X57" s="844" t="str">
        <f t="shared" si="7"/>
        <v>нет</v>
      </c>
      <c r="Y57" s="1857"/>
      <c r="Z57" s="1858"/>
      <c r="AA57" s="844" t="str">
        <f t="shared" si="8"/>
        <v>нет</v>
      </c>
      <c r="AB57" s="1748"/>
      <c r="AC57" s="909"/>
      <c r="AD57" s="912" t="str">
        <f t="shared" si="24"/>
        <v>нет</v>
      </c>
      <c r="AE57" s="947"/>
      <c r="AF57" s="949"/>
      <c r="AG57" s="844" t="str">
        <f t="shared" si="9"/>
        <v>нет</v>
      </c>
      <c r="AH57" s="951"/>
      <c r="AI57" s="949"/>
      <c r="AJ57" s="844" t="str">
        <f t="shared" si="25"/>
        <v>нет</v>
      </c>
      <c r="AK57" s="935">
        <f>ПрофРабота!$Q57</f>
        <v>0</v>
      </c>
      <c r="AL57" s="485">
        <f>ПрофРабота!$R57</f>
        <v>0</v>
      </c>
      <c r="AM57" s="485">
        <f>ПрофРабота!$S57</f>
        <v>0</v>
      </c>
      <c r="AN57" s="817">
        <f>ПрофРабота!$C57</f>
        <v>0</v>
      </c>
      <c r="AO57" s="923">
        <f>МероприятияВуза!$AT57</f>
        <v>0</v>
      </c>
      <c r="AP57" s="919">
        <f>МероприятияВуза!$K57</f>
        <v>0</v>
      </c>
      <c r="AQ57" s="817" t="str">
        <f t="shared" si="26"/>
        <v>нет</v>
      </c>
      <c r="AR57" s="938">
        <f>'ДПО(Финансы)'!$R57</f>
        <v>341223</v>
      </c>
      <c r="AS57" s="939">
        <f>'ДПО(Финансы)'!$D57</f>
        <v>703000</v>
      </c>
      <c r="AT57" s="510" t="e">
        <f t="shared" si="27"/>
        <v>#DIV/0!</v>
      </c>
      <c r="AU57" s="1519">
        <f t="shared" si="28"/>
        <v>48.538122332859174</v>
      </c>
      <c r="AV57" s="938">
        <f>'ДПО(Финансы)'!$R57</f>
        <v>341223</v>
      </c>
      <c r="AW57" s="939">
        <f>'ИДО(Финансы)'!$R57</f>
        <v>0</v>
      </c>
      <c r="AX57" s="939">
        <f>'ДПО(Финансы)'!$S57</f>
        <v>783764.58000000007</v>
      </c>
      <c r="AY57" s="939">
        <f>'ИДО(Финансы)'!$S57</f>
        <v>0</v>
      </c>
      <c r="AZ57" s="839" t="e">
        <f t="shared" si="92"/>
        <v>#DIV/0!</v>
      </c>
      <c r="BA57" s="1520">
        <f t="array" ref="BA57">IF(($E57="да"),IF($AX57=0,"нет",$AV57/$AX57*100-100),"нет")</f>
        <v>-56.463585021920743</v>
      </c>
      <c r="BB57" s="1521">
        <f t="array" ref="BB57">IF(($E57="да"),IF($AX57=0,"нет",$AV57/$AX57*100),"нет")</f>
        <v>43.536414978079257</v>
      </c>
      <c r="BC57" s="1522">
        <f t="shared" si="93"/>
        <v>48.538122332859174</v>
      </c>
      <c r="BD57" s="1522" t="e">
        <f t="array" ref="BD57">IF(($E57="да"),IF($AZ57&gt;$AZ$17,$AZ57/$AZ$16*BD$16,нет),нет)</f>
        <v>#DIV/0!</v>
      </c>
      <c r="BE57" s="938">
        <f>'ИДО(Финансы)'!$R57</f>
        <v>0</v>
      </c>
      <c r="BF57" s="939">
        <f>'ИДО(Финансы)'!D57</f>
        <v>0</v>
      </c>
      <c r="BG57" s="510" t="str">
        <f t="shared" si="29"/>
        <v>нет</v>
      </c>
      <c r="BH57" s="1519" t="str">
        <f t="shared" si="30"/>
        <v>нет</v>
      </c>
      <c r="BI57" s="1523">
        <f t="array" ref="BI57">IF(($E57="да")+($F57="да"),IF((BF57+AS57)=0,"нет",(AR57+BE57)/(BF57+AS57)*100),"нет")</f>
        <v>48.538122332859174</v>
      </c>
      <c r="BJ57" s="829">
        <f>Кадры!$I57</f>
        <v>0</v>
      </c>
      <c r="BK57" s="940">
        <f>Кадры!$O57</f>
        <v>0</v>
      </c>
      <c r="BL57" s="941">
        <f>Кадры!$K57</f>
        <v>0</v>
      </c>
      <c r="BM57" s="821" t="str">
        <f t="array" ref="BM57">IF(BL57=0,"нет",BK57/BL57*100)</f>
        <v>нет</v>
      </c>
      <c r="BN57" s="923">
        <f>Кадры!E57</f>
        <v>0</v>
      </c>
      <c r="BO57" s="941">
        <f>Кадры!$K57</f>
        <v>0</v>
      </c>
      <c r="BP57" s="343" t="str">
        <f t="shared" si="31"/>
        <v>нет</v>
      </c>
      <c r="BQ57" s="342" t="e">
        <f t="shared" si="32"/>
        <v>#DIV/0!</v>
      </c>
      <c r="BR57" s="940">
        <f>Кадры!$L57</f>
        <v>0</v>
      </c>
      <c r="BS57" s="1544">
        <f>Кадры!$J57</f>
        <v>0</v>
      </c>
      <c r="BT57" s="343">
        <f t="shared" si="33"/>
        <v>0</v>
      </c>
      <c r="BU57" s="817">
        <f t="shared" si="34"/>
        <v>100</v>
      </c>
      <c r="BV57" s="923">
        <f>Кадры!$D57</f>
        <v>0</v>
      </c>
      <c r="BW57" s="919">
        <f>Кадры!$F57</f>
        <v>0</v>
      </c>
      <c r="BX57" s="817" t="e">
        <f t="shared" si="35"/>
        <v>#DIV/0!</v>
      </c>
      <c r="BY57" s="940">
        <f>Кадры!$P57</f>
        <v>0</v>
      </c>
      <c r="BZ57" s="941">
        <f>Кадры!$L57</f>
        <v>0</v>
      </c>
      <c r="CA57" s="342" t="str">
        <f t="shared" si="36"/>
        <v>нет</v>
      </c>
      <c r="CC57" s="339" t="s">
        <v>333</v>
      </c>
      <c r="CD57" s="268"/>
      <c r="CE57" s="961"/>
      <c r="CG57" s="335" t="e">
        <f t="array" ref="CG57">SUM(IF($F57:$CA57=нет,0,IF($F57:$CA57&gt;=$F$16:$CA$16,$F$16:$CA$16,IF($F57:$CA57&lt;$F$17:$CA$17,0,$F57:$CA57)))*$F$11:$CA$11*($F$104:$CA$104=CG$4)/$F$16:$CA$16*($F$106:$CA$115*($B$106:$B$115=$B57)*($A$106:$A$115=$A$104)))</f>
        <v>#DIV/0!</v>
      </c>
      <c r="CH57" s="335" t="e">
        <f t="array" ref="CH57">SUM(IF($F57:$CA57=нет,0,IF($F57:$CA57&gt;=$F$16:$CA$16,$F$16:$CA$16,IF($F57:$CA57&lt;$F$17:$CA$17,0,$F57:$CA57)))*$F$11:$CA$11*($F$104:$CA$104=CH$4)/$F$16:$CA$16*($F$106:$CA$115*($B$106:$B$115=$B57)*($A$106:$A$115=$A$104)))</f>
        <v>#DIV/0!</v>
      </c>
      <c r="CI57" s="335" t="e">
        <f t="array" ref="CI57">SUM(IF($F57:$CA57=нет,0,IF($F57:$CA57&gt;=$F$16:$CA$16,$F$16:$CA$16,IF($F57:$CA57&lt;$F$17:$CA$17,0,$F57:$CA57)))*$F$11:$CA$11*($F$105:$CA$105=CI$4)/$F$16:$CA$16*($F$106:$CA$115*($B$106:$B$115=$B57)*($A$106:$A$115=$A$104)))</f>
        <v>#DIV/0!</v>
      </c>
      <c r="CJ57" s="1072" t="e">
        <f>'НУ(ВИД3)'!D58</f>
        <v>#DIV/0!</v>
      </c>
      <c r="CK57" s="335" t="e">
        <f t="array" ref="CK57">SUM(IF($F57:$CA57=нет,0,IF($F57:$CA57&gt;=$F$16:$CA$16,$F$16:$CA$16,IF($F57:$CA57&lt;$F$17:$CA$17,0,$F57:$CA57)))*$F$11:$CA$11*($F$104:$CA$104=CK$4)/$F$16:$CA$16*($F$106:$CA$115*($B$106:$B$115=$B57)*($A$106:$A$115=$A$104)))</f>
        <v>#DIV/0!</v>
      </c>
      <c r="CL57" s="335" t="e">
        <f t="array" ref="CL57">SUM(IF($F57:$CA57=нет,0,IF($F57:$CA57&gt;=$F$16:$CA$16,$F$16:$CA$16,IF($F57:$CA57&lt;$F$17:$CA$17,0,$F57:$CA57)))*$F$11:$CA$11*($F$104:$CA$104=CL$4)/$F$16:$CA$16*($F$106:$CA$115*($B$106:$B$115=$B57)*($A$106:$A$115=$A$104)))</f>
        <v>#DIV/0!</v>
      </c>
      <c r="CM57" s="335" t="e">
        <f t="array" ref="CM57">SUM(IF($F57:$CA57=нет,0,IF($F57:$CA57&gt;=$F$16:$CA$16,$F$16:$CA$16,IF($F57:$CA57&lt;$F$17:$CA$17,0,$F57:$CA57)))*$F$11:$CA$11*($F$104:$CA$104=CM$4)/$F$16:$CA$16*($F$106:$CA$115*($B$106:$B$115=$B57)*($A$106:$A$115=$A$104)))</f>
        <v>#DIV/0!</v>
      </c>
      <c r="CO57" s="1000" t="e">
        <f t="array" ref="CO57">SUM(IF($F57:$CA57=нет,0,100)*$F$11:$CA$11*($F$104:$CA$104=CO$4)/100*($F$106:$CA$115*($B$106:$B$115=$B57)*($A$106:$A$115=$A$104)))</f>
        <v>#DIV/0!</v>
      </c>
      <c r="CP57" s="1000" t="e">
        <f t="array" ref="CP57">SUM(IF($F57:$CA57=нет,0,100)*$F$11:$CA$11*($F$104:$CA$104=CP$4)/100*($F$106:$CA$115*($B$106:$B$115=$B57)*($A$106:$A$115=$A$104)))</f>
        <v>#DIV/0!</v>
      </c>
      <c r="CQ57" s="1000" t="e">
        <f t="array" ref="CQ57">SUM(IF($F57:$CA57=нет,0,100)*$F$11:$CA$11*($F$105:$CA$105=CQ$4)/100*($F$106:$CA$115*($B$106:$B$115=$B57)*($A$106:$A$115=$A$104)))</f>
        <v>#DIV/0!</v>
      </c>
      <c r="CR57" s="1057">
        <f>'НУ(ВИД3)'!E58</f>
        <v>21</v>
      </c>
      <c r="CS57" s="1000" t="e">
        <f t="array" ref="CS57">SUM(IF($F57:$CA57=нет,0,100)*$F$11:$CA$11*($F$104:$CA$104=CS$4)/100*($F$106:$CA$115*($B$106:$B$115=$B57)*($A$106:$A$115=$A$104)))</f>
        <v>#DIV/0!</v>
      </c>
      <c r="CT57" s="1000" t="e">
        <f t="array" ref="CT57">SUM(IF($F57:$CA57=нет,0,100)*$F$11:$CA$11*($F$104:$CA$104=CT$4)/100*($F$106:$CA$115*($B$106:$B$115=$B57)*($A$106:$A$115=$A$104)))</f>
        <v>#DIV/0!</v>
      </c>
      <c r="CU57" s="1000" t="e">
        <f t="array" ref="CU57">SUM(IF($F57:$CA57=нет,0,100)*$F$11:$CA$11*($F$104:$CA$104=CU$4)/100*($F$106:$CA$115*($B$106:$B$115=$B57)*($A$106:$A$115=$A$104)))</f>
        <v>#DIV/0!</v>
      </c>
      <c r="CW57" s="333" t="e">
        <f>SUM(CG57:CH57,CJ57:CM57,'Реестр ППС'!#REF!,' "Вуз зож"'!S57)</f>
        <v>#REF!</v>
      </c>
      <c r="CX57" s="333" t="e">
        <f>SUM(CO57:CP57,CR57:CU57,'Реестр ППС'!#REF!,' "Вуз зож"'!T57)</f>
        <v>#REF!</v>
      </c>
      <c r="CY57" s="332" t="e">
        <f t="shared" ref="CY57:CY75" si="96">IF(CX57=0,0,CW57/CX57*100)</f>
        <v>#REF!</v>
      </c>
      <c r="DA57" s="336" t="e">
        <f>SUM(CI57:CK57,CM57,'Реестр ППС'!#REF!,' "Вуз зож"'!S57)</f>
        <v>#REF!</v>
      </c>
      <c r="DB57" s="336" t="e">
        <f>SUM(CQ57:CS57,CU57,'Реестр ППС'!#REF!,' "Вуз зож"'!T57)</f>
        <v>#REF!</v>
      </c>
      <c r="DC57" s="332" t="e">
        <f t="shared" si="37"/>
        <v>#REF!</v>
      </c>
      <c r="DD57" s="961"/>
      <c r="DE57" s="337" t="e">
        <f t="shared" si="43"/>
        <v>#DIV/0!</v>
      </c>
      <c r="DF57" s="337" t="e">
        <f t="shared" si="44"/>
        <v>#DIV/0!</v>
      </c>
      <c r="DG57" s="337" t="e">
        <f t="shared" si="45"/>
        <v>#DIV/0!</v>
      </c>
      <c r="DH57" s="337" t="e">
        <f t="shared" si="46"/>
        <v>#DIV/0!</v>
      </c>
      <c r="DI57" s="337" t="e">
        <f t="shared" si="47"/>
        <v>#DIV/0!</v>
      </c>
      <c r="DJ57" s="337" t="e">
        <f t="shared" si="48"/>
        <v>#DIV/0!</v>
      </c>
      <c r="DK57" s="337" t="e">
        <f t="shared" si="49"/>
        <v>#DIV/0!</v>
      </c>
      <c r="DL57" s="334" t="str">
        <f t="shared" si="95"/>
        <v>Медицины катастроф и безопасности жизнедеятельности</v>
      </c>
      <c r="DM57" s="215" t="str">
        <f t="shared" si="94"/>
        <v>ОЗДОРОВЬЯ</v>
      </c>
      <c r="DN57" s="1505" t="e">
        <f t="shared" si="38"/>
        <v>#REF!</v>
      </c>
      <c r="DO57" s="338"/>
      <c r="DP57" s="338"/>
      <c r="DQ57" s="338"/>
      <c r="DR57" s="318"/>
      <c r="DS57" s="318"/>
      <c r="DT57" s="318"/>
      <c r="DU57" s="318"/>
      <c r="DV57" s="318"/>
      <c r="DW57" s="318"/>
      <c r="DX57" s="318"/>
    </row>
    <row r="58" spans="1:128" s="215" customFormat="1" ht="15.75" thickBot="1" x14ac:dyDescent="0.25">
      <c r="A58" s="550" t="s">
        <v>412</v>
      </c>
      <c r="B58" s="340" t="s">
        <v>7</v>
      </c>
      <c r="C58" s="482">
        <f>Кадры!C58</f>
        <v>0</v>
      </c>
      <c r="D58" s="2079" t="str">
        <f>CC58</f>
        <v>ОЗДОРОВЬЯ</v>
      </c>
      <c r="E58" s="2074" t="s">
        <v>16</v>
      </c>
      <c r="F58" s="341" t="s">
        <v>31</v>
      </c>
      <c r="G58" s="909"/>
      <c r="H58" s="817">
        <f t="shared" si="90"/>
        <v>100</v>
      </c>
      <c r="I58" s="1748"/>
      <c r="J58" s="860">
        <f t="shared" si="91"/>
        <v>100</v>
      </c>
      <c r="K58" s="920">
        <f>МероприятияВуза!$AR58+МероприятияВуза!$AQ58</f>
        <v>0</v>
      </c>
      <c r="L58" s="919">
        <f>МероприятияВуза!$G58+МероприятияВуза!$H58</f>
        <v>0</v>
      </c>
      <c r="M58" s="925" t="str">
        <f t="shared" si="20"/>
        <v>нет</v>
      </c>
      <c r="N58" s="923">
        <f>МероприятияВуза!$AS58</f>
        <v>0</v>
      </c>
      <c r="O58" s="919">
        <f>МероприятияВуза!$I58+МероприятияВуза!$J58</f>
        <v>0</v>
      </c>
      <c r="P58" s="925" t="str">
        <f t="shared" si="21"/>
        <v>нет</v>
      </c>
      <c r="Q58" s="1838"/>
      <c r="R58" s="817">
        <f t="shared" si="22"/>
        <v>100</v>
      </c>
      <c r="S58" s="1847"/>
      <c r="T58" s="1848"/>
      <c r="U58" s="844" t="str">
        <f t="shared" si="23"/>
        <v>нет</v>
      </c>
      <c r="V58" s="904"/>
      <c r="W58" s="909"/>
      <c r="X58" s="844" t="str">
        <f t="shared" si="7"/>
        <v>нет</v>
      </c>
      <c r="Y58" s="1857"/>
      <c r="Z58" s="1858"/>
      <c r="AA58" s="844" t="str">
        <f t="shared" si="8"/>
        <v>нет</v>
      </c>
      <c r="AB58" s="1748"/>
      <c r="AC58" s="909"/>
      <c r="AD58" s="912" t="str">
        <f t="shared" si="24"/>
        <v>нет</v>
      </c>
      <c r="AE58" s="947"/>
      <c r="AF58" s="949"/>
      <c r="AG58" s="844" t="str">
        <f t="shared" si="9"/>
        <v>нет</v>
      </c>
      <c r="AH58" s="951"/>
      <c r="AI58" s="949"/>
      <c r="AJ58" s="844" t="str">
        <f t="shared" si="25"/>
        <v>нет</v>
      </c>
      <c r="AK58" s="935">
        <f>ПрофРабота!$Q58</f>
        <v>0</v>
      </c>
      <c r="AL58" s="485">
        <f>ПрофРабота!$R58</f>
        <v>0</v>
      </c>
      <c r="AM58" s="485">
        <f>ПрофРабота!$S58</f>
        <v>0</v>
      </c>
      <c r="AN58" s="817">
        <f>ПрофРабота!$C58</f>
        <v>0</v>
      </c>
      <c r="AO58" s="923">
        <f>МероприятияВуза!$AT58</f>
        <v>0</v>
      </c>
      <c r="AP58" s="919">
        <f>МероприятияВуза!$K58</f>
        <v>0</v>
      </c>
      <c r="AQ58" s="817" t="str">
        <f t="shared" si="26"/>
        <v>нет</v>
      </c>
      <c r="AR58" s="938">
        <f>'ДПО(Финансы)'!$R58</f>
        <v>0</v>
      </c>
      <c r="AS58" s="939">
        <f>'ДПО(Финансы)'!$D58</f>
        <v>50000</v>
      </c>
      <c r="AT58" s="510">
        <f t="shared" si="27"/>
        <v>0</v>
      </c>
      <c r="AU58" s="1519">
        <f t="shared" si="28"/>
        <v>0</v>
      </c>
      <c r="AV58" s="938">
        <f>'ДПО(Финансы)'!$R58</f>
        <v>0</v>
      </c>
      <c r="AW58" s="939">
        <f>'ИДО(Финансы)'!$R58</f>
        <v>0</v>
      </c>
      <c r="AX58" s="939">
        <f>'ДПО(Финансы)'!$S58</f>
        <v>5500</v>
      </c>
      <c r="AY58" s="939">
        <f>'ИДО(Финансы)'!$S58</f>
        <v>0</v>
      </c>
      <c r="AZ58" s="839" t="e">
        <f t="shared" si="92"/>
        <v>#DIV/0!</v>
      </c>
      <c r="BA58" s="1520">
        <f t="array" ref="BA58">IF(($E58="да"),IF($AX58=0,"нет",$AV58/$AX58*100-100),"нет")</f>
        <v>-100</v>
      </c>
      <c r="BB58" s="1521">
        <f t="array" ref="BB58">IF(($E58="да"),IF($AX58=0,"нет",$AV58/$AX58*100),"нет")</f>
        <v>0</v>
      </c>
      <c r="BC58" s="1522">
        <f t="shared" si="93"/>
        <v>0</v>
      </c>
      <c r="BD58" s="1522" t="e">
        <f t="array" ref="BD58">IF(($E58="да"),IF($AZ58&gt;$AZ$17,$AZ58/$AZ$16*BD$16,нет),нет)</f>
        <v>#DIV/0!</v>
      </c>
      <c r="BE58" s="938">
        <f>'ИДО(Финансы)'!$R58</f>
        <v>0</v>
      </c>
      <c r="BF58" s="939">
        <f>'ИДО(Финансы)'!D58</f>
        <v>0</v>
      </c>
      <c r="BG58" s="510" t="str">
        <f t="shared" si="29"/>
        <v>нет</v>
      </c>
      <c r="BH58" s="1519" t="str">
        <f t="shared" si="30"/>
        <v>нет</v>
      </c>
      <c r="BI58" s="1523">
        <f t="array" ref="BI58">IF(($E58="да")+($F58="да"),IF((BF58+AS58)=0,"нет",(AR58+BE58)/(BF58+AS58)*100),"нет")</f>
        <v>0</v>
      </c>
      <c r="BJ58" s="829">
        <f>Кадры!$I58</f>
        <v>0</v>
      </c>
      <c r="BK58" s="940">
        <f>Кадры!$O58</f>
        <v>0</v>
      </c>
      <c r="BL58" s="941">
        <f>Кадры!$K58</f>
        <v>0</v>
      </c>
      <c r="BM58" s="821" t="str">
        <f t="array" ref="BM58">IF(BL58=0,"нет",BK58/BL58*100)</f>
        <v>нет</v>
      </c>
      <c r="BN58" s="923">
        <f>Кадры!E58</f>
        <v>0</v>
      </c>
      <c r="BO58" s="941">
        <f>Кадры!$K58</f>
        <v>0</v>
      </c>
      <c r="BP58" s="343" t="str">
        <f t="shared" si="31"/>
        <v>нет</v>
      </c>
      <c r="BQ58" s="342" t="e">
        <f t="shared" si="32"/>
        <v>#DIV/0!</v>
      </c>
      <c r="BR58" s="940">
        <f>Кадры!$L58</f>
        <v>0</v>
      </c>
      <c r="BS58" s="1544">
        <f>Кадры!$J58</f>
        <v>0</v>
      </c>
      <c r="BT58" s="343">
        <f t="shared" si="33"/>
        <v>0</v>
      </c>
      <c r="BU58" s="817">
        <f t="shared" si="34"/>
        <v>100</v>
      </c>
      <c r="BV58" s="923">
        <f>Кадры!$D58</f>
        <v>0</v>
      </c>
      <c r="BW58" s="919">
        <f>Кадры!$F58</f>
        <v>0</v>
      </c>
      <c r="BX58" s="817" t="e">
        <f t="shared" si="35"/>
        <v>#DIV/0!</v>
      </c>
      <c r="BY58" s="940">
        <f>Кадры!$P58</f>
        <v>0</v>
      </c>
      <c r="BZ58" s="941">
        <f>Кадры!$L58</f>
        <v>0</v>
      </c>
      <c r="CA58" s="342" t="str">
        <f t="shared" si="36"/>
        <v>нет</v>
      </c>
      <c r="CC58" s="339" t="s">
        <v>333</v>
      </c>
      <c r="CD58" s="268"/>
      <c r="CE58" s="961"/>
      <c r="CG58" s="335" t="e">
        <f t="array" ref="CG58">SUM(IF($F58:$CA58=нет,0,IF($F58:$CA58&gt;=$F$16:$CA$16,$F$16:$CA$16,IF($F58:$CA58&lt;$F$17:$CA$17,0,$F58:$CA58)))*$F$11:$CA$11*($F$104:$CA$104=CG$4)/$F$16:$CA$16*($F$106:$CA$115*($B$106:$B$115=$B58)*($A$106:$A$115=$A$104)))</f>
        <v>#DIV/0!</v>
      </c>
      <c r="CH58" s="335" t="e">
        <f t="array" ref="CH58">SUM(IF($F58:$CA58=нет,0,IF($F58:$CA58&gt;=$F$16:$CA$16,$F$16:$CA$16,IF($F58:$CA58&lt;$F$17:$CA$17,0,$F58:$CA58)))*$F$11:$CA$11*($F$104:$CA$104=CH$4)/$F$16:$CA$16*($F$106:$CA$115*($B$106:$B$115=$B58)*($A$106:$A$115=$A$104)))</f>
        <v>#DIV/0!</v>
      </c>
      <c r="CI58" s="335" t="e">
        <f t="array" ref="CI58">SUM(IF($F58:$CA58=нет,0,IF($F58:$CA58&gt;=$F$16:$CA$16,$F$16:$CA$16,IF($F58:$CA58&lt;$F$17:$CA$17,0,$F58:$CA58)))*$F$11:$CA$11*($F$105:$CA$105=CI$4)/$F$16:$CA$16*($F$106:$CA$115*($B$106:$B$115=$B58)*($A$106:$A$115=$A$104)))</f>
        <v>#DIV/0!</v>
      </c>
      <c r="CJ58" s="1072" t="e">
        <f>'НУ(ВИД3)'!D59</f>
        <v>#DIV/0!</v>
      </c>
      <c r="CK58" s="335" t="e">
        <f t="array" ref="CK58">SUM(IF($F58:$CA58=нет,0,IF($F58:$CA58&gt;=$F$16:$CA$16,$F$16:$CA$16,IF($F58:$CA58&lt;$F$17:$CA$17,0,$F58:$CA58)))*$F$11:$CA$11*($F$104:$CA$104=CK$4)/$F$16:$CA$16*($F$106:$CA$115*($B$106:$B$115=$B58)*($A$106:$A$115=$A$104)))</f>
        <v>#DIV/0!</v>
      </c>
      <c r="CL58" s="335" t="e">
        <f t="array" ref="CL58">SUM(IF($F58:$CA58=нет,0,IF($F58:$CA58&gt;=$F$16:$CA$16,$F$16:$CA$16,IF($F58:$CA58&lt;$F$17:$CA$17,0,$F58:$CA58)))*$F$11:$CA$11*($F$104:$CA$104=CL$4)/$F$16:$CA$16*($F$106:$CA$115*($B$106:$B$115=$B58)*($A$106:$A$115=$A$104)))</f>
        <v>#DIV/0!</v>
      </c>
      <c r="CM58" s="335" t="e">
        <f t="array" ref="CM58">SUM(IF($F58:$CA58=нет,0,IF($F58:$CA58&gt;=$F$16:$CA$16,$F$16:$CA$16,IF($F58:$CA58&lt;$F$17:$CA$17,0,$F58:$CA58)))*$F$11:$CA$11*($F$104:$CA$104=CM$4)/$F$16:$CA$16*($F$106:$CA$115*($B$106:$B$115=$B58)*($A$106:$A$115=$A$104)))</f>
        <v>#DIV/0!</v>
      </c>
      <c r="CO58" s="1000" t="e">
        <f t="array" ref="CO58">SUM(IF($F58:$CA58=нет,0,100)*$F$11:$CA$11*($F$104:$CA$104=CO$4)/100*($F$106:$CA$115*($B$106:$B$115=$B58)*($A$106:$A$115=$A$104)))</f>
        <v>#DIV/0!</v>
      </c>
      <c r="CP58" s="1000" t="e">
        <f t="array" ref="CP58">SUM(IF($F58:$CA58=нет,0,100)*$F$11:$CA$11*($F$104:$CA$104=CP$4)/100*($F$106:$CA$115*($B$106:$B$115=$B58)*($A$106:$A$115=$A$104)))</f>
        <v>#DIV/0!</v>
      </c>
      <c r="CQ58" s="1000" t="e">
        <f t="array" ref="CQ58">SUM(IF($F58:$CA58=нет,0,100)*$F$11:$CA$11*($F$105:$CA$105=CQ$4)/100*($F$106:$CA$115*($B$106:$B$115=$B58)*($A$106:$A$115=$A$104)))</f>
        <v>#DIV/0!</v>
      </c>
      <c r="CR58" s="1057">
        <f>'НУ(ВИД3)'!E59</f>
        <v>21</v>
      </c>
      <c r="CS58" s="1000" t="e">
        <f t="array" ref="CS58">SUM(IF($F58:$CA58=нет,0,100)*$F$11:$CA$11*($F$104:$CA$104=CS$4)/100*($F$106:$CA$115*($B$106:$B$115=$B58)*($A$106:$A$115=$A$104)))</f>
        <v>#DIV/0!</v>
      </c>
      <c r="CT58" s="1000" t="e">
        <f t="array" ref="CT58">SUM(IF($F58:$CA58=нет,0,100)*$F$11:$CA$11*($F$104:$CA$104=CT$4)/100*($F$106:$CA$115*($B$106:$B$115=$B58)*($A$106:$A$115=$A$104)))</f>
        <v>#DIV/0!</v>
      </c>
      <c r="CU58" s="1000" t="e">
        <f t="array" ref="CU58">SUM(IF($F58:$CA58=нет,0,100)*$F$11:$CA$11*($F$104:$CA$104=CU$4)/100*($F$106:$CA$115*($B$106:$B$115=$B58)*($A$106:$A$115=$A$104)))</f>
        <v>#DIV/0!</v>
      </c>
      <c r="CW58" s="333" t="e">
        <f>SUM(CG58:CH58,CJ58:CM58,'Реестр ППС'!#REF!,' "Вуз зож"'!S58)</f>
        <v>#REF!</v>
      </c>
      <c r="CX58" s="333" t="e">
        <f>SUM(CO58:CP58,CR58:CU58,'Реестр ППС'!#REF!,' "Вуз зож"'!T58)</f>
        <v>#REF!</v>
      </c>
      <c r="CY58" s="332" t="e">
        <f t="shared" si="96"/>
        <v>#REF!</v>
      </c>
      <c r="DA58" s="336" t="e">
        <f>SUM(CI58:CK58,CM58,'Реестр ППС'!#REF!,' "Вуз зож"'!S58)</f>
        <v>#REF!</v>
      </c>
      <c r="DB58" s="336" t="e">
        <f>SUM(CQ58:CS58,CU58,'Реестр ППС'!#REF!,' "Вуз зож"'!T58)</f>
        <v>#REF!</v>
      </c>
      <c r="DC58" s="332" t="e">
        <f t="shared" si="37"/>
        <v>#REF!</v>
      </c>
      <c r="DD58" s="961"/>
      <c r="DE58" s="337" t="e">
        <f t="shared" si="43"/>
        <v>#DIV/0!</v>
      </c>
      <c r="DF58" s="337" t="e">
        <f t="shared" si="44"/>
        <v>#DIV/0!</v>
      </c>
      <c r="DG58" s="337" t="e">
        <f t="shared" si="45"/>
        <v>#DIV/0!</v>
      </c>
      <c r="DH58" s="337" t="e">
        <f t="shared" si="46"/>
        <v>#DIV/0!</v>
      </c>
      <c r="DI58" s="337" t="e">
        <f t="shared" si="47"/>
        <v>#DIV/0!</v>
      </c>
      <c r="DJ58" s="337" t="e">
        <f t="shared" si="48"/>
        <v>#DIV/0!</v>
      </c>
      <c r="DK58" s="337" t="e">
        <f t="shared" si="49"/>
        <v>#DIV/0!</v>
      </c>
      <c r="DL58" s="334" t="str">
        <f t="shared" si="95"/>
        <v>Медицинского права</v>
      </c>
      <c r="DM58" s="215" t="str">
        <f t="shared" si="94"/>
        <v>ОЗДОРОВЬЯ</v>
      </c>
      <c r="DN58" s="1505" t="e">
        <f t="shared" si="38"/>
        <v>#REF!</v>
      </c>
      <c r="DO58" s="338"/>
      <c r="DP58" s="338"/>
      <c r="DQ58" s="338"/>
      <c r="DR58" s="318"/>
      <c r="DS58" s="318"/>
      <c r="DT58" s="318"/>
      <c r="DU58" s="318"/>
      <c r="DV58" s="318"/>
      <c r="DW58" s="318"/>
      <c r="DX58" s="318"/>
    </row>
    <row r="59" spans="1:128" s="215" customFormat="1" ht="15.75" thickBot="1" x14ac:dyDescent="0.25">
      <c r="A59" s="550" t="s">
        <v>111</v>
      </c>
      <c r="B59" s="340" t="s">
        <v>7</v>
      </c>
      <c r="C59" s="482">
        <f>Кадры!C59</f>
        <v>0</v>
      </c>
      <c r="D59" s="2079" t="str">
        <f t="shared" si="19"/>
        <v>ОЗДОРОВЬЯ</v>
      </c>
      <c r="E59" s="2074" t="s">
        <v>16</v>
      </c>
      <c r="F59" s="341" t="s">
        <v>31</v>
      </c>
      <c r="G59" s="909"/>
      <c r="H59" s="817">
        <f t="shared" si="90"/>
        <v>100</v>
      </c>
      <c r="I59" s="1748"/>
      <c r="J59" s="860">
        <f t="shared" si="91"/>
        <v>100</v>
      </c>
      <c r="K59" s="920">
        <f>МероприятияВуза!$AR59+МероприятияВуза!$AQ59</f>
        <v>0</v>
      </c>
      <c r="L59" s="919">
        <f>МероприятияВуза!$G59+МероприятияВуза!$H59</f>
        <v>0</v>
      </c>
      <c r="M59" s="925" t="str">
        <f t="shared" si="20"/>
        <v>нет</v>
      </c>
      <c r="N59" s="923">
        <f>МероприятияВуза!$AS59</f>
        <v>0</v>
      </c>
      <c r="O59" s="919">
        <f>МероприятияВуза!$I59+МероприятияВуза!$J59</f>
        <v>0</v>
      </c>
      <c r="P59" s="925" t="str">
        <f t="shared" si="21"/>
        <v>нет</v>
      </c>
      <c r="Q59" s="1838"/>
      <c r="R59" s="817">
        <f t="shared" si="22"/>
        <v>100</v>
      </c>
      <c r="S59" s="1847"/>
      <c r="T59" s="1848"/>
      <c r="U59" s="844" t="str">
        <f t="shared" si="23"/>
        <v>нет</v>
      </c>
      <c r="V59" s="904"/>
      <c r="W59" s="909"/>
      <c r="X59" s="844" t="str">
        <f t="shared" si="7"/>
        <v>нет</v>
      </c>
      <c r="Y59" s="1857"/>
      <c r="Z59" s="1858"/>
      <c r="AA59" s="844" t="str">
        <f t="shared" si="8"/>
        <v>нет</v>
      </c>
      <c r="AB59" s="1748"/>
      <c r="AC59" s="909"/>
      <c r="AD59" s="912" t="str">
        <f t="shared" si="24"/>
        <v>нет</v>
      </c>
      <c r="AE59" s="947"/>
      <c r="AF59" s="949"/>
      <c r="AG59" s="844" t="str">
        <f t="shared" si="9"/>
        <v>нет</v>
      </c>
      <c r="AH59" s="951"/>
      <c r="AI59" s="949"/>
      <c r="AJ59" s="844" t="str">
        <f t="shared" si="25"/>
        <v>нет</v>
      </c>
      <c r="AK59" s="935">
        <f>ПрофРабота!$Q59</f>
        <v>0</v>
      </c>
      <c r="AL59" s="485">
        <f>ПрофРабота!$R59</f>
        <v>0</v>
      </c>
      <c r="AM59" s="485">
        <f>ПрофРабота!$S59</f>
        <v>0</v>
      </c>
      <c r="AN59" s="817">
        <f>ПрофРабота!$C59</f>
        <v>0</v>
      </c>
      <c r="AO59" s="923">
        <f>МероприятияВуза!$AT59</f>
        <v>0</v>
      </c>
      <c r="AP59" s="919">
        <f>МероприятияВуза!$K59</f>
        <v>0</v>
      </c>
      <c r="AQ59" s="817" t="str">
        <f t="shared" si="26"/>
        <v>нет</v>
      </c>
      <c r="AR59" s="938">
        <f>'ДПО(Финансы)'!$R59</f>
        <v>0</v>
      </c>
      <c r="AS59" s="939">
        <f>'ДПО(Финансы)'!$D59</f>
        <v>0</v>
      </c>
      <c r="AT59" s="510">
        <f t="shared" si="27"/>
        <v>0</v>
      </c>
      <c r="AU59" s="1519" t="str">
        <f t="shared" si="28"/>
        <v>нет</v>
      </c>
      <c r="AV59" s="938">
        <f>'ДПО(Финансы)'!$R59</f>
        <v>0</v>
      </c>
      <c r="AW59" s="939">
        <f>'ИДО(Финансы)'!$R59</f>
        <v>0</v>
      </c>
      <c r="AX59" s="939">
        <f>'ДПО(Финансы)'!$S59</f>
        <v>0</v>
      </c>
      <c r="AY59" s="939">
        <f>'ИДО(Финансы)'!$S59</f>
        <v>0</v>
      </c>
      <c r="AZ59" s="839" t="e">
        <f t="shared" si="92"/>
        <v>#DIV/0!</v>
      </c>
      <c r="BA59" s="1520" t="str">
        <f t="array" ref="BA59">IF(($E59="да"),IF($AX59=0,"нет",$AV59/$AX59*100-100),"нет")</f>
        <v>нет</v>
      </c>
      <c r="BB59" s="1521" t="str">
        <f t="array" ref="BB59">IF(($E59="да"),IF($AX59=0,"нет",$AV59/$AX59*100),"нет")</f>
        <v>нет</v>
      </c>
      <c r="BC59" s="1522" t="str">
        <f t="shared" si="93"/>
        <v>нет</v>
      </c>
      <c r="BD59" s="1522" t="e">
        <f t="array" ref="BD59">IF(($E59="да"),IF($AZ59&gt;$AZ$17,$AZ59/$AZ$16*BD$16,нет),нет)</f>
        <v>#DIV/0!</v>
      </c>
      <c r="BE59" s="938">
        <f>'ИДО(Финансы)'!$R59</f>
        <v>0</v>
      </c>
      <c r="BF59" s="939">
        <f>'ИДО(Финансы)'!D59</f>
        <v>0</v>
      </c>
      <c r="BG59" s="510" t="str">
        <f t="shared" si="29"/>
        <v>нет</v>
      </c>
      <c r="BH59" s="1519" t="str">
        <f t="shared" si="30"/>
        <v>нет</v>
      </c>
      <c r="BI59" s="1523" t="str">
        <f t="array" ref="BI59">IF(($E59="да")+($F59="да"),IF((BF59+AS59)=0,"нет",(AR59+BE59)/(BF59+AS59)*100),"нет")</f>
        <v>нет</v>
      </c>
      <c r="BJ59" s="829">
        <f>Кадры!$I59</f>
        <v>0</v>
      </c>
      <c r="BK59" s="940">
        <f>Кадры!$O59</f>
        <v>0</v>
      </c>
      <c r="BL59" s="941">
        <f>Кадры!$K59</f>
        <v>0</v>
      </c>
      <c r="BM59" s="821" t="str">
        <f t="array" ref="BM59">IF(BL59=0,"нет",BK59/BL59*100)</f>
        <v>нет</v>
      </c>
      <c r="BN59" s="923">
        <f>Кадры!E59</f>
        <v>0</v>
      </c>
      <c r="BO59" s="941">
        <f>Кадры!$K59</f>
        <v>0</v>
      </c>
      <c r="BP59" s="343" t="str">
        <f t="shared" si="31"/>
        <v>нет</v>
      </c>
      <c r="BQ59" s="342" t="e">
        <f t="shared" si="32"/>
        <v>#DIV/0!</v>
      </c>
      <c r="BR59" s="940">
        <f>Кадры!$L59</f>
        <v>0</v>
      </c>
      <c r="BS59" s="1544">
        <f>Кадры!$J59</f>
        <v>0</v>
      </c>
      <c r="BT59" s="343">
        <f t="shared" si="33"/>
        <v>0</v>
      </c>
      <c r="BU59" s="817">
        <f t="shared" si="34"/>
        <v>100</v>
      </c>
      <c r="BV59" s="923">
        <f>Кадры!$D59</f>
        <v>0</v>
      </c>
      <c r="BW59" s="919">
        <f>Кадры!$F59</f>
        <v>0</v>
      </c>
      <c r="BX59" s="817" t="e">
        <f t="shared" si="35"/>
        <v>#DIV/0!</v>
      </c>
      <c r="BY59" s="940">
        <f>Кадры!$P59</f>
        <v>0</v>
      </c>
      <c r="BZ59" s="941">
        <f>Кадры!$L59</f>
        <v>0</v>
      </c>
      <c r="CA59" s="342" t="str">
        <f t="shared" si="36"/>
        <v>нет</v>
      </c>
      <c r="CC59" s="339" t="s">
        <v>333</v>
      </c>
      <c r="CD59" s="268"/>
      <c r="CE59" s="961"/>
      <c r="CG59" s="335" t="e">
        <f t="array" ref="CG59">SUM(IF($F59:$CA59=нет,0,IF($F59:$CA59&gt;=$F$16:$CA$16,$F$16:$CA$16,IF($F59:$CA59&lt;$F$17:$CA$17,0,$F59:$CA59)))*$F$11:$CA$11*($F$104:$CA$104=CG$4)/$F$16:$CA$16*($F$106:$CA$115*($B$106:$B$115=$B59)*($A$106:$A$115=$A$104)))</f>
        <v>#DIV/0!</v>
      </c>
      <c r="CH59" s="335" t="e">
        <f t="array" ref="CH59">SUM(IF($F59:$CA59=нет,0,IF($F59:$CA59&gt;=$F$16:$CA$16,$F$16:$CA$16,IF($F59:$CA59&lt;$F$17:$CA$17,0,$F59:$CA59)))*$F$11:$CA$11*($F$104:$CA$104=CH$4)/$F$16:$CA$16*($F$106:$CA$115*($B$106:$B$115=$B59)*($A$106:$A$115=$A$104)))</f>
        <v>#DIV/0!</v>
      </c>
      <c r="CI59" s="335" t="e">
        <f t="array" ref="CI59">SUM(IF($F59:$CA59=нет,0,IF($F59:$CA59&gt;=$F$16:$CA$16,$F$16:$CA$16,IF($F59:$CA59&lt;$F$17:$CA$17,0,$F59:$CA59)))*$F$11:$CA$11*($F$105:$CA$105=CI$4)/$F$16:$CA$16*($F$106:$CA$115*($B$106:$B$115=$B59)*($A$106:$A$115=$A$104)))</f>
        <v>#DIV/0!</v>
      </c>
      <c r="CJ59" s="1072" t="e">
        <f>'НУ(ВИД3)'!D60</f>
        <v>#DIV/0!</v>
      </c>
      <c r="CK59" s="335" t="e">
        <f t="array" ref="CK59">SUM(IF($F59:$CA59=нет,0,IF($F59:$CA59&gt;=$F$16:$CA$16,$F$16:$CA$16,IF($F59:$CA59&lt;$F$17:$CA$17,0,$F59:$CA59)))*$F$11:$CA$11*($F$104:$CA$104=CK$4)/$F$16:$CA$16*($F$106:$CA$115*($B$106:$B$115=$B59)*($A$106:$A$115=$A$104)))</f>
        <v>#DIV/0!</v>
      </c>
      <c r="CL59" s="335" t="e">
        <f t="array" ref="CL59">SUM(IF($F59:$CA59=нет,0,IF($F59:$CA59&gt;=$F$16:$CA$16,$F$16:$CA$16,IF($F59:$CA59&lt;$F$17:$CA$17,0,$F59:$CA59)))*$F$11:$CA$11*($F$104:$CA$104=CL$4)/$F$16:$CA$16*($F$106:$CA$115*($B$106:$B$115=$B59)*($A$106:$A$115=$A$104)))</f>
        <v>#DIV/0!</v>
      </c>
      <c r="CM59" s="335" t="e">
        <f t="array" ref="CM59">SUM(IF($F59:$CA59=нет,0,IF($F59:$CA59&gt;=$F$16:$CA$16,$F$16:$CA$16,IF($F59:$CA59&lt;$F$17:$CA$17,0,$F59:$CA59)))*$F$11:$CA$11*($F$104:$CA$104=CM$4)/$F$16:$CA$16*($F$106:$CA$115*($B$106:$B$115=$B59)*($A$106:$A$115=$A$104)))</f>
        <v>#DIV/0!</v>
      </c>
      <c r="CO59" s="1000" t="e">
        <f t="array" ref="CO59">SUM(IF($F59:$CA59=нет,0,100)*$F$11:$CA$11*($F$104:$CA$104=CO$4)/100*($F$106:$CA$115*($B$106:$B$115=$B59)*($A$106:$A$115=$A$104)))</f>
        <v>#DIV/0!</v>
      </c>
      <c r="CP59" s="1000" t="e">
        <f t="array" ref="CP59">SUM(IF($F59:$CA59=нет,0,100)*$F$11:$CA$11*($F$104:$CA$104=CP$4)/100*($F$106:$CA$115*($B$106:$B$115=$B59)*($A$106:$A$115=$A$104)))</f>
        <v>#DIV/0!</v>
      </c>
      <c r="CQ59" s="1000" t="e">
        <f t="array" ref="CQ59">SUM(IF($F59:$CA59=нет,0,100)*$F$11:$CA$11*($F$105:$CA$105=CQ$4)/100*($F$106:$CA$115*($B$106:$B$115=$B59)*($A$106:$A$115=$A$104)))</f>
        <v>#DIV/0!</v>
      </c>
      <c r="CR59" s="1057">
        <f>'НУ(ВИД3)'!E60</f>
        <v>21</v>
      </c>
      <c r="CS59" s="1000" t="e">
        <f t="array" ref="CS59">SUM(IF($F59:$CA59=нет,0,100)*$F$11:$CA$11*($F$104:$CA$104=CS$4)/100*($F$106:$CA$115*($B$106:$B$115=$B59)*($A$106:$A$115=$A$104)))</f>
        <v>#DIV/0!</v>
      </c>
      <c r="CT59" s="1000" t="e">
        <f t="array" ref="CT59">SUM(IF($F59:$CA59=нет,0,100)*$F$11:$CA$11*($F$104:$CA$104=CT$4)/100*($F$106:$CA$115*($B$106:$B$115=$B59)*($A$106:$A$115=$A$104)))</f>
        <v>#DIV/0!</v>
      </c>
      <c r="CU59" s="1000" t="e">
        <f t="array" ref="CU59">SUM(IF($F59:$CA59=нет,0,100)*$F$11:$CA$11*($F$104:$CA$104=CU$4)/100*($F$106:$CA$115*($B$106:$B$115=$B59)*($A$106:$A$115=$A$104)))</f>
        <v>#DIV/0!</v>
      </c>
      <c r="CW59" s="333" t="e">
        <f>SUM(CG59:CH59,CJ59:CM59,'Реестр ППС'!#REF!,' "Вуз зож"'!S59)</f>
        <v>#REF!</v>
      </c>
      <c r="CX59" s="333" t="e">
        <f>SUM(CO59:CP59,CR59:CU59,'Реестр ППС'!#REF!,' "Вуз зож"'!T59)</f>
        <v>#REF!</v>
      </c>
      <c r="CY59" s="332" t="e">
        <f t="shared" si="96"/>
        <v>#REF!</v>
      </c>
      <c r="DA59" s="336" t="e">
        <f>SUM(CI59:CK59,CM59,'Реестр ППС'!#REF!,' "Вуз зож"'!S59)</f>
        <v>#REF!</v>
      </c>
      <c r="DB59" s="336" t="e">
        <f>SUM(CQ59:CS59,CU59,'Реестр ППС'!#REF!,' "Вуз зож"'!T59)</f>
        <v>#REF!</v>
      </c>
      <c r="DC59" s="332" t="e">
        <f t="shared" si="37"/>
        <v>#REF!</v>
      </c>
      <c r="DD59" s="961"/>
      <c r="DE59" s="337" t="e">
        <f t="shared" si="43"/>
        <v>#DIV/0!</v>
      </c>
      <c r="DF59" s="337" t="e">
        <f t="shared" si="44"/>
        <v>#DIV/0!</v>
      </c>
      <c r="DG59" s="337" t="e">
        <f t="shared" si="45"/>
        <v>#DIV/0!</v>
      </c>
      <c r="DH59" s="337" t="e">
        <f t="shared" si="46"/>
        <v>#DIV/0!</v>
      </c>
      <c r="DI59" s="337" t="e">
        <f t="shared" si="47"/>
        <v>#DIV/0!</v>
      </c>
      <c r="DJ59" s="337" t="e">
        <f t="shared" si="48"/>
        <v>#DIV/0!</v>
      </c>
      <c r="DK59" s="337" t="e">
        <f t="shared" si="49"/>
        <v>#DIV/0!</v>
      </c>
      <c r="DL59" s="334" t="str">
        <f t="shared" si="95"/>
        <v>Общественного здоровья и здравоохранения</v>
      </c>
      <c r="DM59" s="215" t="str">
        <f t="shared" si="94"/>
        <v>ОЗДОРОВЬЯ</v>
      </c>
      <c r="DN59" s="1505" t="e">
        <f t="shared" si="38"/>
        <v>#REF!</v>
      </c>
      <c r="DO59" s="338"/>
      <c r="DP59" s="338"/>
      <c r="DQ59" s="338"/>
      <c r="DR59" s="318"/>
      <c r="DS59" s="318"/>
      <c r="DT59" s="318"/>
      <c r="DU59" s="318"/>
      <c r="DV59" s="318"/>
      <c r="DW59" s="318"/>
      <c r="DX59" s="318"/>
    </row>
    <row r="60" spans="1:128" s="215" customFormat="1" ht="15.75" thickBot="1" x14ac:dyDescent="0.25">
      <c r="A60" s="550" t="s">
        <v>378</v>
      </c>
      <c r="B60" s="340" t="s">
        <v>7</v>
      </c>
      <c r="C60" s="482">
        <f>Кадры!C60</f>
        <v>0</v>
      </c>
      <c r="D60" s="2079" t="str">
        <f t="shared" si="19"/>
        <v>ОЗДОРОВЬЯ</v>
      </c>
      <c r="E60" s="2074" t="s">
        <v>16</v>
      </c>
      <c r="F60" s="341" t="s">
        <v>31</v>
      </c>
      <c r="G60" s="909"/>
      <c r="H60" s="817">
        <f t="shared" si="90"/>
        <v>100</v>
      </c>
      <c r="I60" s="1748"/>
      <c r="J60" s="860">
        <f t="shared" si="91"/>
        <v>100</v>
      </c>
      <c r="K60" s="920">
        <f>МероприятияВуза!$AR60+МероприятияВуза!$AQ60</f>
        <v>0</v>
      </c>
      <c r="L60" s="919">
        <f>МероприятияВуза!$G60+МероприятияВуза!$H60</f>
        <v>0</v>
      </c>
      <c r="M60" s="925" t="str">
        <f t="shared" si="20"/>
        <v>нет</v>
      </c>
      <c r="N60" s="923">
        <f>МероприятияВуза!$AS60</f>
        <v>0</v>
      </c>
      <c r="O60" s="919">
        <f>МероприятияВуза!$I60+МероприятияВуза!$J60</f>
        <v>0</v>
      </c>
      <c r="P60" s="925" t="str">
        <f t="shared" si="21"/>
        <v>нет</v>
      </c>
      <c r="Q60" s="1838"/>
      <c r="R60" s="817">
        <f t="shared" si="22"/>
        <v>100</v>
      </c>
      <c r="S60" s="1847"/>
      <c r="T60" s="1848"/>
      <c r="U60" s="844" t="str">
        <f t="shared" si="23"/>
        <v>нет</v>
      </c>
      <c r="V60" s="904"/>
      <c r="W60" s="909"/>
      <c r="X60" s="844" t="str">
        <f t="shared" si="7"/>
        <v>нет</v>
      </c>
      <c r="Y60" s="1857"/>
      <c r="Z60" s="1858"/>
      <c r="AA60" s="844" t="str">
        <f t="shared" si="8"/>
        <v>нет</v>
      </c>
      <c r="AB60" s="1748"/>
      <c r="AC60" s="909"/>
      <c r="AD60" s="912" t="str">
        <f t="shared" si="24"/>
        <v>нет</v>
      </c>
      <c r="AE60" s="947"/>
      <c r="AF60" s="949"/>
      <c r="AG60" s="844" t="str">
        <f t="shared" si="9"/>
        <v>нет</v>
      </c>
      <c r="AH60" s="951"/>
      <c r="AI60" s="949"/>
      <c r="AJ60" s="844" t="str">
        <f t="shared" si="25"/>
        <v>нет</v>
      </c>
      <c r="AK60" s="935">
        <f>ПрофРабота!$Q60</f>
        <v>0</v>
      </c>
      <c r="AL60" s="485">
        <f>ПрофРабота!$R60</f>
        <v>0</v>
      </c>
      <c r="AM60" s="485">
        <f>ПрофРабота!$S60</f>
        <v>0</v>
      </c>
      <c r="AN60" s="817">
        <f>ПрофРабота!$C60</f>
        <v>0</v>
      </c>
      <c r="AO60" s="923">
        <f>МероприятияВуза!$AT60</f>
        <v>0</v>
      </c>
      <c r="AP60" s="919">
        <f>МероприятияВуза!$K60</f>
        <v>0</v>
      </c>
      <c r="AQ60" s="817" t="str">
        <f t="shared" si="26"/>
        <v>нет</v>
      </c>
      <c r="AR60" s="938">
        <f>'ДПО(Финансы)'!$R60</f>
        <v>32102</v>
      </c>
      <c r="AS60" s="939">
        <f>'ДПО(Финансы)'!$D60</f>
        <v>30000</v>
      </c>
      <c r="AT60" s="510" t="e">
        <f t="shared" si="27"/>
        <v>#DIV/0!</v>
      </c>
      <c r="AU60" s="1519">
        <f t="shared" si="28"/>
        <v>107.00666666666667</v>
      </c>
      <c r="AV60" s="938">
        <f>'ДПО(Финансы)'!$R60</f>
        <v>32102</v>
      </c>
      <c r="AW60" s="939">
        <f>'ИДО(Финансы)'!$R60</f>
        <v>0</v>
      </c>
      <c r="AX60" s="939">
        <f>'ДПО(Финансы)'!$S60</f>
        <v>80600</v>
      </c>
      <c r="AY60" s="939">
        <f>'ИДО(Финансы)'!$S60</f>
        <v>0</v>
      </c>
      <c r="AZ60" s="839" t="e">
        <f t="shared" si="92"/>
        <v>#DIV/0!</v>
      </c>
      <c r="BA60" s="1520">
        <f t="array" ref="BA60">IF(($E60="да"),IF($AX60=0,"нет",$AV60/$AX60*100-100),"нет")</f>
        <v>-60.1712158808933</v>
      </c>
      <c r="BB60" s="1521">
        <f t="array" ref="BB60">IF(($E60="да"),IF($AX60=0,"нет",$AV60/$AX60*100),"нет")</f>
        <v>39.8287841191067</v>
      </c>
      <c r="BC60" s="1522">
        <f t="shared" si="93"/>
        <v>107.00666666666667</v>
      </c>
      <c r="BD60" s="1522" t="e">
        <f t="array" ref="BD60">IF(($E60="да"),IF($AZ60&gt;$AZ$17,$AZ60/$AZ$16*BD$16,нет),нет)</f>
        <v>#DIV/0!</v>
      </c>
      <c r="BE60" s="938">
        <f>'ИДО(Финансы)'!$R60</f>
        <v>0</v>
      </c>
      <c r="BF60" s="939">
        <f>'ИДО(Финансы)'!D60</f>
        <v>0</v>
      </c>
      <c r="BG60" s="510" t="str">
        <f t="shared" si="29"/>
        <v>нет</v>
      </c>
      <c r="BH60" s="1519" t="str">
        <f t="shared" si="30"/>
        <v>нет</v>
      </c>
      <c r="BI60" s="1523">
        <f t="array" ref="BI60">IF(($E60="да")+($F60="да"),IF((BF60+AS60)=0,"нет",(AR60+BE60)/(BF60+AS60)*100),"нет")</f>
        <v>107.00666666666667</v>
      </c>
      <c r="BJ60" s="829">
        <f>Кадры!$I60</f>
        <v>0</v>
      </c>
      <c r="BK60" s="940">
        <f>Кадры!$O60</f>
        <v>0</v>
      </c>
      <c r="BL60" s="941">
        <f>Кадры!$K60</f>
        <v>0</v>
      </c>
      <c r="BM60" s="821" t="str">
        <f t="array" ref="BM60">IF(BL60=0,"нет",BK60/BL60*100)</f>
        <v>нет</v>
      </c>
      <c r="BN60" s="923">
        <f>Кадры!E60</f>
        <v>0</v>
      </c>
      <c r="BO60" s="941">
        <f>Кадры!$K60</f>
        <v>0</v>
      </c>
      <c r="BP60" s="343" t="str">
        <f t="shared" si="31"/>
        <v>нет</v>
      </c>
      <c r="BQ60" s="342" t="e">
        <f t="shared" si="32"/>
        <v>#DIV/0!</v>
      </c>
      <c r="BR60" s="940">
        <f>Кадры!$L60</f>
        <v>0</v>
      </c>
      <c r="BS60" s="1544">
        <f>Кадры!$J60</f>
        <v>0</v>
      </c>
      <c r="BT60" s="343">
        <f t="shared" si="33"/>
        <v>0</v>
      </c>
      <c r="BU60" s="817">
        <f t="shared" si="34"/>
        <v>100</v>
      </c>
      <c r="BV60" s="923">
        <f>Кадры!$D60</f>
        <v>0</v>
      </c>
      <c r="BW60" s="919">
        <f>Кадры!$F60</f>
        <v>0</v>
      </c>
      <c r="BX60" s="817" t="e">
        <f t="shared" si="35"/>
        <v>#DIV/0!</v>
      </c>
      <c r="BY60" s="940">
        <f>Кадры!$P60</f>
        <v>0</v>
      </c>
      <c r="BZ60" s="941">
        <f>Кадры!$L60</f>
        <v>0</v>
      </c>
      <c r="CA60" s="342" t="str">
        <f t="shared" si="36"/>
        <v>нет</v>
      </c>
      <c r="CC60" s="339" t="s">
        <v>333</v>
      </c>
      <c r="CD60" s="268"/>
      <c r="CE60" s="961"/>
      <c r="CG60" s="335" t="e">
        <f t="array" ref="CG60">SUM(IF($F60:$CA60=нет,0,IF($F60:$CA60&gt;=$F$16:$CA$16,$F$16:$CA$16,IF($F60:$CA60&lt;$F$17:$CA$17,0,$F60:$CA60)))*$F$11:$CA$11*($F$104:$CA$104=CG$4)/$F$16:$CA$16*($F$106:$CA$115*($B$106:$B$115=$B60)*($A$106:$A$115=$A$104)))</f>
        <v>#DIV/0!</v>
      </c>
      <c r="CH60" s="335" t="e">
        <f t="array" ref="CH60">SUM(IF($F60:$CA60=нет,0,IF($F60:$CA60&gt;=$F$16:$CA$16,$F$16:$CA$16,IF($F60:$CA60&lt;$F$17:$CA$17,0,$F60:$CA60)))*$F$11:$CA$11*($F$104:$CA$104=CH$4)/$F$16:$CA$16*($F$106:$CA$115*($B$106:$B$115=$B60)*($A$106:$A$115=$A$104)))</f>
        <v>#DIV/0!</v>
      </c>
      <c r="CI60" s="335" t="e">
        <f t="array" ref="CI60">SUM(IF($F60:$CA60=нет,0,IF($F60:$CA60&gt;=$F$16:$CA$16,$F$16:$CA$16,IF($F60:$CA60&lt;$F$17:$CA$17,0,$F60:$CA60)))*$F$11:$CA$11*($F$105:$CA$105=CI$4)/$F$16:$CA$16*($F$106:$CA$115*($B$106:$B$115=$B60)*($A$106:$A$115=$A$104)))</f>
        <v>#DIV/0!</v>
      </c>
      <c r="CJ60" s="1072" t="e">
        <f>'НУ(ВИД3)'!D61</f>
        <v>#DIV/0!</v>
      </c>
      <c r="CK60" s="335" t="e">
        <f t="array" ref="CK60">SUM(IF($F60:$CA60=нет,0,IF($F60:$CA60&gt;=$F$16:$CA$16,$F$16:$CA$16,IF($F60:$CA60&lt;$F$17:$CA$17,0,$F60:$CA60)))*$F$11:$CA$11*($F$104:$CA$104=CK$4)/$F$16:$CA$16*($F$106:$CA$115*($B$106:$B$115=$B60)*($A$106:$A$115=$A$104)))</f>
        <v>#DIV/0!</v>
      </c>
      <c r="CL60" s="335" t="e">
        <f t="array" ref="CL60">SUM(IF($F60:$CA60=нет,0,IF($F60:$CA60&gt;=$F$16:$CA$16,$F$16:$CA$16,IF($F60:$CA60&lt;$F$17:$CA$17,0,$F60:$CA60)))*$F$11:$CA$11*($F$104:$CA$104=CL$4)/$F$16:$CA$16*($F$106:$CA$115*($B$106:$B$115=$B60)*($A$106:$A$115=$A$104)))</f>
        <v>#DIV/0!</v>
      </c>
      <c r="CM60" s="335" t="e">
        <f t="array" ref="CM60">SUM(IF($F60:$CA60=нет,0,IF($F60:$CA60&gt;=$F$16:$CA$16,$F$16:$CA$16,IF($F60:$CA60&lt;$F$17:$CA$17,0,$F60:$CA60)))*$F$11:$CA$11*($F$104:$CA$104=CM$4)/$F$16:$CA$16*($F$106:$CA$115*($B$106:$B$115=$B60)*($A$106:$A$115=$A$104)))</f>
        <v>#DIV/0!</v>
      </c>
      <c r="CO60" s="1000" t="e">
        <f t="array" ref="CO60">SUM(IF($F60:$CA60=нет,0,100)*$F$11:$CA$11*($F$104:$CA$104=CO$4)/100*($F$106:$CA$115*($B$106:$B$115=$B60)*($A$106:$A$115=$A$104)))</f>
        <v>#DIV/0!</v>
      </c>
      <c r="CP60" s="1000" t="e">
        <f t="array" ref="CP60">SUM(IF($F60:$CA60=нет,0,100)*$F$11:$CA$11*($F$104:$CA$104=CP$4)/100*($F$106:$CA$115*($B$106:$B$115=$B60)*($A$106:$A$115=$A$104)))</f>
        <v>#DIV/0!</v>
      </c>
      <c r="CQ60" s="1000" t="e">
        <f t="array" ref="CQ60">SUM(IF($F60:$CA60=нет,0,100)*$F$11:$CA$11*($F$105:$CA$105=CQ$4)/100*($F$106:$CA$115*($B$106:$B$115=$B60)*($A$106:$A$115=$A$104)))</f>
        <v>#DIV/0!</v>
      </c>
      <c r="CR60" s="1057">
        <f>'НУ(ВИД3)'!E61</f>
        <v>21</v>
      </c>
      <c r="CS60" s="1000" t="e">
        <f t="array" ref="CS60">SUM(IF($F60:$CA60=нет,0,100)*$F$11:$CA$11*($F$104:$CA$104=CS$4)/100*($F$106:$CA$115*($B$106:$B$115=$B60)*($A$106:$A$115=$A$104)))</f>
        <v>#DIV/0!</v>
      </c>
      <c r="CT60" s="1000" t="e">
        <f t="array" ref="CT60">SUM(IF($F60:$CA60=нет,0,100)*$F$11:$CA$11*($F$104:$CA$104=CT$4)/100*($F$106:$CA$115*($B$106:$B$115=$B60)*($A$106:$A$115=$A$104)))</f>
        <v>#DIV/0!</v>
      </c>
      <c r="CU60" s="1000" t="e">
        <f t="array" ref="CU60">SUM(IF($F60:$CA60=нет,0,100)*$F$11:$CA$11*($F$104:$CA$104=CU$4)/100*($F$106:$CA$115*($B$106:$B$115=$B60)*($A$106:$A$115=$A$104)))</f>
        <v>#DIV/0!</v>
      </c>
      <c r="CW60" s="333" t="e">
        <f>SUM(CG60:CH60,CJ60:CM60,'Реестр ППС'!#REF!,' "Вуз зож"'!S60)</f>
        <v>#REF!</v>
      </c>
      <c r="CX60" s="333" t="e">
        <f>SUM(CO60:CP60,CR60:CU60,'Реестр ППС'!#REF!,' "Вуз зож"'!T60)</f>
        <v>#REF!</v>
      </c>
      <c r="CY60" s="332" t="e">
        <f t="shared" si="96"/>
        <v>#REF!</v>
      </c>
      <c r="DA60" s="336" t="e">
        <f>SUM(CI60:CK60,CM60,'Реестр ППС'!#REF!,' "Вуз зож"'!S60)</f>
        <v>#REF!</v>
      </c>
      <c r="DB60" s="336" t="e">
        <f>SUM(CQ60:CS60,CU60,'Реестр ППС'!#REF!,' "Вуз зож"'!T60)</f>
        <v>#REF!</v>
      </c>
      <c r="DC60" s="332" t="e">
        <f t="shared" si="37"/>
        <v>#REF!</v>
      </c>
      <c r="DD60" s="961"/>
      <c r="DE60" s="337" t="e">
        <f>IF(CO60=0,0,TEXT(CG60/CO60*100,"0,0")&amp;"%
="&amp;TEXT(CG60,"0,0")&amp;"/"&amp;TEXT(CO60,"0,0"))</f>
        <v>#DIV/0!</v>
      </c>
      <c r="DF60" s="337" t="e">
        <f t="shared" si="44"/>
        <v>#DIV/0!</v>
      </c>
      <c r="DG60" s="337" t="e">
        <f t="shared" si="45"/>
        <v>#DIV/0!</v>
      </c>
      <c r="DH60" s="337" t="e">
        <f t="shared" si="46"/>
        <v>#DIV/0!</v>
      </c>
      <c r="DI60" s="337" t="e">
        <f t="shared" si="47"/>
        <v>#DIV/0!</v>
      </c>
      <c r="DJ60" s="337" t="e">
        <f t="shared" si="48"/>
        <v>#DIV/0!</v>
      </c>
      <c r="DK60" s="337" t="e">
        <f t="shared" si="49"/>
        <v>#DIV/0!</v>
      </c>
      <c r="DL60" s="334" t="str">
        <f t="shared" si="95"/>
        <v>Пульмонологии и фтизиатрии с курсом ДПО</v>
      </c>
      <c r="DM60" s="215" t="str">
        <f t="shared" si="94"/>
        <v>ОЗДОРОВЬЯ</v>
      </c>
      <c r="DN60" s="1505" t="e">
        <f t="shared" si="38"/>
        <v>#REF!</v>
      </c>
      <c r="DO60" s="338"/>
      <c r="DP60" s="338"/>
      <c r="DQ60" s="338"/>
      <c r="DR60" s="318"/>
      <c r="DS60" s="318"/>
      <c r="DT60" s="318"/>
      <c r="DU60" s="318"/>
      <c r="DV60" s="318"/>
      <c r="DW60" s="318"/>
      <c r="DX60" s="318"/>
    </row>
    <row r="61" spans="1:128" s="215" customFormat="1" ht="15.75" thickBot="1" x14ac:dyDescent="0.25">
      <c r="A61" s="550" t="s">
        <v>109</v>
      </c>
      <c r="B61" s="340" t="s">
        <v>7</v>
      </c>
      <c r="C61" s="482">
        <f>Кадры!C61</f>
        <v>0</v>
      </c>
      <c r="D61" s="2079" t="str">
        <f t="shared" si="19"/>
        <v>ОЗДОРОВЬЯ</v>
      </c>
      <c r="E61" s="2074" t="s">
        <v>16</v>
      </c>
      <c r="F61" s="341" t="s">
        <v>31</v>
      </c>
      <c r="G61" s="909"/>
      <c r="H61" s="817">
        <f t="shared" si="90"/>
        <v>100</v>
      </c>
      <c r="I61" s="1748"/>
      <c r="J61" s="860">
        <f t="shared" si="91"/>
        <v>100</v>
      </c>
      <c r="K61" s="920">
        <f>МероприятияВуза!$AR61+МероприятияВуза!$AQ61</f>
        <v>0</v>
      </c>
      <c r="L61" s="919">
        <f>МероприятияВуза!$G61+МероприятияВуза!$H61</f>
        <v>0</v>
      </c>
      <c r="M61" s="925" t="str">
        <f t="shared" si="20"/>
        <v>нет</v>
      </c>
      <c r="N61" s="923">
        <f>МероприятияВуза!$AS61</f>
        <v>0</v>
      </c>
      <c r="O61" s="919">
        <f>МероприятияВуза!$I61+МероприятияВуза!$J61</f>
        <v>0</v>
      </c>
      <c r="P61" s="925" t="str">
        <f t="shared" si="21"/>
        <v>нет</v>
      </c>
      <c r="Q61" s="1838"/>
      <c r="R61" s="817">
        <f t="shared" si="22"/>
        <v>100</v>
      </c>
      <c r="S61" s="1847"/>
      <c r="T61" s="1848"/>
      <c r="U61" s="844" t="str">
        <f t="shared" si="23"/>
        <v>нет</v>
      </c>
      <c r="V61" s="904"/>
      <c r="W61" s="909"/>
      <c r="X61" s="844" t="str">
        <f t="shared" si="7"/>
        <v>нет</v>
      </c>
      <c r="Y61" s="1857"/>
      <c r="Z61" s="1858"/>
      <c r="AA61" s="844" t="str">
        <f t="shared" si="8"/>
        <v>нет</v>
      </c>
      <c r="AB61" s="1748"/>
      <c r="AC61" s="909"/>
      <c r="AD61" s="912" t="str">
        <f t="shared" si="24"/>
        <v>нет</v>
      </c>
      <c r="AE61" s="947"/>
      <c r="AF61" s="949"/>
      <c r="AG61" s="844" t="str">
        <f t="shared" si="9"/>
        <v>нет</v>
      </c>
      <c r="AH61" s="951"/>
      <c r="AI61" s="949"/>
      <c r="AJ61" s="844" t="str">
        <f t="shared" si="25"/>
        <v>нет</v>
      </c>
      <c r="AK61" s="935">
        <f>ПрофРабота!$Q61</f>
        <v>0</v>
      </c>
      <c r="AL61" s="485">
        <f>ПрофРабота!$R61</f>
        <v>0</v>
      </c>
      <c r="AM61" s="485">
        <f>ПрофРабота!$S61</f>
        <v>0</v>
      </c>
      <c r="AN61" s="817">
        <f>ПрофРабота!$C61</f>
        <v>0</v>
      </c>
      <c r="AO61" s="923">
        <f>МероприятияВуза!$AT61</f>
        <v>0</v>
      </c>
      <c r="AP61" s="919">
        <f>МероприятияВуза!$K61</f>
        <v>0</v>
      </c>
      <c r="AQ61" s="817" t="str">
        <f t="shared" si="26"/>
        <v>нет</v>
      </c>
      <c r="AR61" s="938">
        <f>'ДПО(Финансы)'!$R61</f>
        <v>49188</v>
      </c>
      <c r="AS61" s="939">
        <f>'ДПО(Финансы)'!$D61</f>
        <v>60000</v>
      </c>
      <c r="AT61" s="510" t="e">
        <f t="shared" si="27"/>
        <v>#DIV/0!</v>
      </c>
      <c r="AU61" s="1519">
        <f t="shared" si="28"/>
        <v>81.98</v>
      </c>
      <c r="AV61" s="938">
        <f>'ДПО(Финансы)'!$R61</f>
        <v>49188</v>
      </c>
      <c r="AW61" s="939">
        <f>'ИДО(Финансы)'!$R61</f>
        <v>0</v>
      </c>
      <c r="AX61" s="939">
        <f>'ДПО(Финансы)'!$S61</f>
        <v>278506.77</v>
      </c>
      <c r="AY61" s="939">
        <f>'ИДО(Финансы)'!$S61</f>
        <v>0</v>
      </c>
      <c r="AZ61" s="839" t="e">
        <f t="shared" si="92"/>
        <v>#DIV/0!</v>
      </c>
      <c r="BA61" s="1520">
        <f t="array" ref="BA61">IF(($E61="да"),IF($AX61=0,"нет",$AV61/$AX61*100-100),"нет")</f>
        <v>-82.338669900196678</v>
      </c>
      <c r="BB61" s="1521">
        <f t="array" ref="BB61">IF(($E61="да"),IF($AX61=0,"нет",$AV61/$AX61*100),"нет")</f>
        <v>17.661330099803319</v>
      </c>
      <c r="BC61" s="1522">
        <f t="shared" si="93"/>
        <v>81.98</v>
      </c>
      <c r="BD61" s="1522" t="e">
        <f t="array" ref="BD61">IF(($E61="да"),IF($AZ61&gt;$AZ$17,$AZ61/$AZ$16*BD$16,нет),нет)</f>
        <v>#DIV/0!</v>
      </c>
      <c r="BE61" s="938">
        <f>'ИДО(Финансы)'!$R61</f>
        <v>0</v>
      </c>
      <c r="BF61" s="939">
        <f>'ИДО(Финансы)'!D61</f>
        <v>0</v>
      </c>
      <c r="BG61" s="510" t="str">
        <f t="shared" si="29"/>
        <v>нет</v>
      </c>
      <c r="BH61" s="1519" t="str">
        <f t="shared" si="30"/>
        <v>нет</v>
      </c>
      <c r="BI61" s="1523">
        <f t="array" ref="BI61">IF(($E61="да")+($F61="да"),IF((BF61+AS61)=0,"нет",(AR61+BE61)/(BF61+AS61)*100),"нет")</f>
        <v>81.98</v>
      </c>
      <c r="BJ61" s="829">
        <f>Кадры!$I61</f>
        <v>0</v>
      </c>
      <c r="BK61" s="940">
        <f>Кадры!$O61</f>
        <v>0</v>
      </c>
      <c r="BL61" s="941">
        <f>Кадры!$K61</f>
        <v>0</v>
      </c>
      <c r="BM61" s="821" t="str">
        <f t="array" ref="BM61">IF(BL61=0,"нет",BK61/BL61*100)</f>
        <v>нет</v>
      </c>
      <c r="BN61" s="923">
        <f>Кадры!E61</f>
        <v>0</v>
      </c>
      <c r="BO61" s="941">
        <f>Кадры!$K61</f>
        <v>0</v>
      </c>
      <c r="BP61" s="343" t="str">
        <f t="shared" si="31"/>
        <v>нет</v>
      </c>
      <c r="BQ61" s="342" t="e">
        <f t="shared" si="32"/>
        <v>#DIV/0!</v>
      </c>
      <c r="BR61" s="940">
        <f>Кадры!$L61</f>
        <v>0</v>
      </c>
      <c r="BS61" s="1544">
        <f>Кадры!$J61</f>
        <v>0</v>
      </c>
      <c r="BT61" s="343">
        <f t="shared" si="33"/>
        <v>0</v>
      </c>
      <c r="BU61" s="817">
        <f t="shared" si="34"/>
        <v>100</v>
      </c>
      <c r="BV61" s="923">
        <f>Кадры!$D61</f>
        <v>0</v>
      </c>
      <c r="BW61" s="919">
        <f>Кадры!$F61</f>
        <v>0</v>
      </c>
      <c r="BX61" s="817" t="e">
        <f t="shared" si="35"/>
        <v>#DIV/0!</v>
      </c>
      <c r="BY61" s="940">
        <f>Кадры!$P61</f>
        <v>0</v>
      </c>
      <c r="BZ61" s="941">
        <f>Кадры!$L61</f>
        <v>0</v>
      </c>
      <c r="CA61" s="342" t="str">
        <f t="shared" si="36"/>
        <v>нет</v>
      </c>
      <c r="CC61" s="339" t="s">
        <v>333</v>
      </c>
      <c r="CD61" s="268"/>
      <c r="CE61" s="961"/>
      <c r="CG61" s="335" t="e">
        <f t="array" ref="CG61">SUM(IF($F61:$CA61=нет,0,IF($F61:$CA61&gt;=$F$16:$CA$16,$F$16:$CA$16,IF($F61:$CA61&lt;$F$17:$CA$17,0,$F61:$CA61)))*$F$11:$CA$11*($F$104:$CA$104=CG$4)/$F$16:$CA$16*($F$106:$CA$115*($B$106:$B$115=$B61)*($A$106:$A$115=$A$104)))</f>
        <v>#DIV/0!</v>
      </c>
      <c r="CH61" s="335" t="e">
        <f t="array" ref="CH61">SUM(IF($F61:$CA61=нет,0,IF($F61:$CA61&gt;=$F$16:$CA$16,$F$16:$CA$16,IF($F61:$CA61&lt;$F$17:$CA$17,0,$F61:$CA61)))*$F$11:$CA$11*($F$104:$CA$104=CH$4)/$F$16:$CA$16*($F$106:$CA$115*($B$106:$B$115=$B61)*($A$106:$A$115=$A$104)))</f>
        <v>#DIV/0!</v>
      </c>
      <c r="CI61" s="335" t="e">
        <f t="array" ref="CI61">SUM(IF($F61:$CA61=нет,0,IF($F61:$CA61&gt;=$F$16:$CA$16,$F$16:$CA$16,IF($F61:$CA61&lt;$F$17:$CA$17,0,$F61:$CA61)))*$F$11:$CA$11*($F$105:$CA$105=CI$4)/$F$16:$CA$16*($F$106:$CA$115*($B$106:$B$115=$B61)*($A$106:$A$115=$A$104)))</f>
        <v>#DIV/0!</v>
      </c>
      <c r="CJ61" s="1072" t="e">
        <f>'НУ(ВИД3)'!D62</f>
        <v>#DIV/0!</v>
      </c>
      <c r="CK61" s="335" t="e">
        <f t="array" ref="CK61">SUM(IF($F61:$CA61=нет,0,IF($F61:$CA61&gt;=$F$16:$CA$16,$F$16:$CA$16,IF($F61:$CA61&lt;$F$17:$CA$17,0,$F61:$CA61)))*$F$11:$CA$11*($F$104:$CA$104=CK$4)/$F$16:$CA$16*($F$106:$CA$115*($B$106:$B$115=$B61)*($A$106:$A$115=$A$104)))</f>
        <v>#DIV/0!</v>
      </c>
      <c r="CL61" s="335" t="e">
        <f t="array" ref="CL61">SUM(IF($F61:$CA61=нет,0,IF($F61:$CA61&gt;=$F$16:$CA$16,$F$16:$CA$16,IF($F61:$CA61&lt;$F$17:$CA$17,0,$F61:$CA61)))*$F$11:$CA$11*($F$104:$CA$104=CL$4)/$F$16:$CA$16*($F$106:$CA$115*($B$106:$B$115=$B61)*($A$106:$A$115=$A$104)))</f>
        <v>#DIV/0!</v>
      </c>
      <c r="CM61" s="335" t="e">
        <f t="array" ref="CM61">SUM(IF($F61:$CA61=нет,0,IF($F61:$CA61&gt;=$F$16:$CA$16,$F$16:$CA$16,IF($F61:$CA61&lt;$F$17:$CA$17,0,$F61:$CA61)))*$F$11:$CA$11*($F$104:$CA$104=CM$4)/$F$16:$CA$16*($F$106:$CA$115*($B$106:$B$115=$B61)*($A$106:$A$115=$A$104)))</f>
        <v>#DIV/0!</v>
      </c>
      <c r="CO61" s="1000" t="e">
        <f t="array" ref="CO61">SUM(IF($F61:$CA61=нет,0,100)*$F$11:$CA$11*($F$104:$CA$104=CO$4)/100*($F$106:$CA$115*($B$106:$B$115=$B61)*($A$106:$A$115=$A$104)))</f>
        <v>#DIV/0!</v>
      </c>
      <c r="CP61" s="1000" t="e">
        <f t="array" ref="CP61">SUM(IF($F61:$CA61=нет,0,100)*$F$11:$CA$11*($F$104:$CA$104=CP$4)/100*($F$106:$CA$115*($B$106:$B$115=$B61)*($A$106:$A$115=$A$104)))</f>
        <v>#DIV/0!</v>
      </c>
      <c r="CQ61" s="1000" t="e">
        <f t="array" ref="CQ61">SUM(IF($F61:$CA61=нет,0,100)*$F$11:$CA$11*($F$105:$CA$105=CQ$4)/100*($F$106:$CA$115*($B$106:$B$115=$B61)*($A$106:$A$115=$A$104)))</f>
        <v>#DIV/0!</v>
      </c>
      <c r="CR61" s="1057">
        <f>'НУ(ВИД3)'!E62</f>
        <v>21</v>
      </c>
      <c r="CS61" s="1000" t="e">
        <f t="array" ref="CS61">SUM(IF($F61:$CA61=нет,0,100)*$F$11:$CA$11*($F$104:$CA$104=CS$4)/100*($F$106:$CA$115*($B$106:$B$115=$B61)*($A$106:$A$115=$A$104)))</f>
        <v>#DIV/0!</v>
      </c>
      <c r="CT61" s="1000" t="e">
        <f t="array" ref="CT61">SUM(IF($F61:$CA61=нет,0,100)*$F$11:$CA$11*($F$104:$CA$104=CT$4)/100*($F$106:$CA$115*($B$106:$B$115=$B61)*($A$106:$A$115=$A$104)))</f>
        <v>#DIV/0!</v>
      </c>
      <c r="CU61" s="1000" t="e">
        <f t="array" ref="CU61">SUM(IF($F61:$CA61=нет,0,100)*$F$11:$CA$11*($F$104:$CA$104=CU$4)/100*($F$106:$CA$115*($B$106:$B$115=$B61)*($A$106:$A$115=$A$104)))</f>
        <v>#DIV/0!</v>
      </c>
      <c r="CW61" s="333" t="e">
        <f>SUM(CG61:CH61,CJ61:CM61,'Реестр ППС'!#REF!,' "Вуз зож"'!S61)</f>
        <v>#REF!</v>
      </c>
      <c r="CX61" s="333" t="e">
        <f>SUM(CO61:CP61,CR61:CU61,'Реестр ППС'!#REF!,' "Вуз зож"'!T61)</f>
        <v>#REF!</v>
      </c>
      <c r="CY61" s="332" t="e">
        <f t="shared" si="96"/>
        <v>#REF!</v>
      </c>
      <c r="DA61" s="336" t="e">
        <f>SUM(CI61:CK61,CM61,'Реестр ППС'!#REF!,' "Вуз зож"'!S61)</f>
        <v>#REF!</v>
      </c>
      <c r="DB61" s="336" t="e">
        <f>SUM(CQ61:CS61,CU61,'Реестр ППС'!#REF!,' "Вуз зож"'!T61)</f>
        <v>#REF!</v>
      </c>
      <c r="DC61" s="332" t="e">
        <f t="shared" si="37"/>
        <v>#REF!</v>
      </c>
      <c r="DD61" s="961"/>
      <c r="DE61" s="337" t="e">
        <f t="shared" ref="DE61:DE77" si="97">IF(CO61=0,0,TEXT(CG61/CO61*100,"0,0")&amp;"%
="&amp;TEXT(CG61,"0,0")&amp;"/"&amp;TEXT(CO61,"0,0"))</f>
        <v>#DIV/0!</v>
      </c>
      <c r="DF61" s="337" t="e">
        <f t="shared" si="44"/>
        <v>#DIV/0!</v>
      </c>
      <c r="DG61" s="337" t="e">
        <f t="shared" si="45"/>
        <v>#DIV/0!</v>
      </c>
      <c r="DH61" s="337" t="e">
        <f t="shared" si="46"/>
        <v>#DIV/0!</v>
      </c>
      <c r="DI61" s="337" t="e">
        <f t="shared" si="47"/>
        <v>#DIV/0!</v>
      </c>
      <c r="DJ61" s="337" t="e">
        <f t="shared" si="48"/>
        <v>#DIV/0!</v>
      </c>
      <c r="DK61" s="337" t="e">
        <f t="shared" si="49"/>
        <v>#DIV/0!</v>
      </c>
      <c r="DL61" s="334" t="str">
        <f t="shared" si="95"/>
        <v>Эпидемиологии, микробиологии и вирусологии</v>
      </c>
      <c r="DM61" s="215" t="str">
        <f t="shared" si="94"/>
        <v>ОЗДОРОВЬЯ</v>
      </c>
      <c r="DN61" s="1505" t="e">
        <f t="shared" si="38"/>
        <v>#REF!</v>
      </c>
      <c r="DO61" s="338"/>
      <c r="DP61" s="338"/>
      <c r="DQ61" s="338"/>
      <c r="DR61" s="318"/>
      <c r="DS61" s="318"/>
      <c r="DT61" s="318"/>
      <c r="DU61" s="318"/>
      <c r="DV61" s="318"/>
      <c r="DW61" s="318"/>
      <c r="DX61" s="318"/>
    </row>
    <row r="62" spans="1:128" s="215" customFormat="1" ht="15.75" thickBot="1" x14ac:dyDescent="0.25">
      <c r="A62" s="1001" t="s">
        <v>415</v>
      </c>
      <c r="B62" s="974" t="s">
        <v>7</v>
      </c>
      <c r="C62" s="1002">
        <f>Кадры!C62</f>
        <v>0</v>
      </c>
      <c r="D62" s="2080" t="str">
        <f>CC62</f>
        <v>ОЗДОРОВЬЯ</v>
      </c>
      <c r="E62" s="2077" t="s">
        <v>16</v>
      </c>
      <c r="F62" s="1004" t="s">
        <v>31</v>
      </c>
      <c r="G62" s="1005"/>
      <c r="H62" s="1752">
        <f t="shared" si="90"/>
        <v>100</v>
      </c>
      <c r="I62" s="1749"/>
      <c r="J62" s="1007">
        <f t="shared" si="91"/>
        <v>100</v>
      </c>
      <c r="K62" s="1008">
        <f>МероприятияВуза!$AR62+МероприятияВуза!$AQ62</f>
        <v>0</v>
      </c>
      <c r="L62" s="1009">
        <f>МероприятияВуза!$G62+МероприятияВуза!$H62</f>
        <v>0</v>
      </c>
      <c r="M62" s="1010" t="str">
        <f t="shared" si="20"/>
        <v>нет</v>
      </c>
      <c r="N62" s="1011">
        <f>МероприятияВуза!$AS62</f>
        <v>0</v>
      </c>
      <c r="O62" s="1009">
        <f>МероприятияВуза!$I62+МероприятияВуза!$J62</f>
        <v>0</v>
      </c>
      <c r="P62" s="1010" t="str">
        <f t="shared" si="21"/>
        <v>нет</v>
      </c>
      <c r="Q62" s="1839"/>
      <c r="R62" s="817">
        <f t="shared" si="22"/>
        <v>100</v>
      </c>
      <c r="S62" s="1851"/>
      <c r="T62" s="1850"/>
      <c r="U62" s="1013" t="str">
        <f t="shared" si="23"/>
        <v>нет</v>
      </c>
      <c r="V62" s="1012"/>
      <c r="W62" s="1005"/>
      <c r="X62" s="1013" t="str">
        <f t="shared" si="7"/>
        <v>нет</v>
      </c>
      <c r="Y62" s="1861"/>
      <c r="Z62" s="1860"/>
      <c r="AA62" s="1751" t="str">
        <f t="shared" si="8"/>
        <v>нет</v>
      </c>
      <c r="AB62" s="1749"/>
      <c r="AC62" s="1005"/>
      <c r="AD62" s="1014" t="str">
        <f t="shared" si="24"/>
        <v>нет</v>
      </c>
      <c r="AE62" s="1015"/>
      <c r="AF62" s="1016"/>
      <c r="AG62" s="1013" t="str">
        <f t="shared" si="9"/>
        <v>нет</v>
      </c>
      <c r="AH62" s="1017"/>
      <c r="AI62" s="1016"/>
      <c r="AJ62" s="1013" t="str">
        <f t="shared" si="25"/>
        <v>нет</v>
      </c>
      <c r="AK62" s="1018">
        <f>ПрофРабота!$Q62</f>
        <v>0</v>
      </c>
      <c r="AL62" s="997">
        <f>ПрофРабота!$R62</f>
        <v>0</v>
      </c>
      <c r="AM62" s="997">
        <f>ПрофРабота!$S62</f>
        <v>0</v>
      </c>
      <c r="AN62" s="933">
        <f>ПрофРабота!$C62</f>
        <v>0</v>
      </c>
      <c r="AO62" s="1011">
        <f>МероприятияВуза!$AT62</f>
        <v>0</v>
      </c>
      <c r="AP62" s="1009">
        <f>МероприятияВуза!$K62</f>
        <v>0</v>
      </c>
      <c r="AQ62" s="933" t="str">
        <f t="shared" si="26"/>
        <v>нет</v>
      </c>
      <c r="AR62" s="1064">
        <f>'ДПО(Финансы)'!$R62</f>
        <v>1600</v>
      </c>
      <c r="AS62" s="1020">
        <f>'ДПО(Финансы)'!$D62</f>
        <v>5000</v>
      </c>
      <c r="AT62" s="1021" t="e">
        <f t="shared" si="27"/>
        <v>#DIV/0!</v>
      </c>
      <c r="AU62" s="1524">
        <f t="shared" si="28"/>
        <v>32</v>
      </c>
      <c r="AV62" s="1019">
        <f>'ДПО(Финансы)'!$R62</f>
        <v>1600</v>
      </c>
      <c r="AW62" s="1020">
        <f>'ИДО(Финансы)'!$R62</f>
        <v>0</v>
      </c>
      <c r="AX62" s="1020">
        <f>'ДПО(Финансы)'!$S62</f>
        <v>21400</v>
      </c>
      <c r="AY62" s="1020">
        <f>'ИДО(Финансы)'!$S62</f>
        <v>0</v>
      </c>
      <c r="AZ62" s="1024" t="e">
        <f t="shared" si="92"/>
        <v>#DIV/0!</v>
      </c>
      <c r="BA62" s="1525">
        <f t="array" ref="BA62">IF(($E62="да"),IF($AX62=0,"нет",$AV62/$AX62*100-100),"нет")</f>
        <v>-92.523364485981304</v>
      </c>
      <c r="BB62" s="1526">
        <f t="array" ref="BB62">IF(($E62="да"),IF($AX62=0,"нет",$AV62/$AX62*100),"нет")</f>
        <v>7.4766355140186906</v>
      </c>
      <c r="BC62" s="1527">
        <f t="shared" si="93"/>
        <v>32</v>
      </c>
      <c r="BD62" s="1527" t="e">
        <f t="array" ref="BD62">IF(($E62="да"),IF($AZ62&gt;$AZ$17,$AZ62/$AZ$16*BD$16,нет),нет)</f>
        <v>#DIV/0!</v>
      </c>
      <c r="BE62" s="1064">
        <f>'ИДО(Финансы)'!$R62</f>
        <v>0</v>
      </c>
      <c r="BF62" s="1020">
        <f>'ИДО(Финансы)'!D62</f>
        <v>0</v>
      </c>
      <c r="BG62" s="1021" t="str">
        <f t="shared" si="29"/>
        <v>нет</v>
      </c>
      <c r="BH62" s="1524" t="str">
        <f t="shared" si="30"/>
        <v>нет</v>
      </c>
      <c r="BI62" s="1528">
        <f t="array" ref="BI62">IF(($E62="да")+($F62="да"),IF((BF62+AS62)=0,"нет",(AR62+BE62)/(BF62+AS62)*100),"нет")</f>
        <v>32</v>
      </c>
      <c r="BJ62" s="1026">
        <f>Кадры!$I62</f>
        <v>0</v>
      </c>
      <c r="BK62" s="1022">
        <f>Кадры!$O62</f>
        <v>0</v>
      </c>
      <c r="BL62" s="1023">
        <f>Кадры!$K62</f>
        <v>0</v>
      </c>
      <c r="BM62" s="1027" t="str">
        <f t="array" ref="BM62">IF(BL62=0,"нет",BK62/BL62*100)</f>
        <v>нет</v>
      </c>
      <c r="BN62" s="1011">
        <f>Кадры!E62</f>
        <v>0</v>
      </c>
      <c r="BO62" s="1023">
        <f>Кадры!$K62</f>
        <v>0</v>
      </c>
      <c r="BP62" s="1025" t="str">
        <f t="shared" si="31"/>
        <v>нет</v>
      </c>
      <c r="BQ62" s="342" t="e">
        <f t="shared" si="32"/>
        <v>#DIV/0!</v>
      </c>
      <c r="BR62" s="1022">
        <f>Кадры!$L62</f>
        <v>0</v>
      </c>
      <c r="BS62" s="1545">
        <f>Кадры!$J62</f>
        <v>0</v>
      </c>
      <c r="BT62" s="1025">
        <f t="shared" si="33"/>
        <v>0</v>
      </c>
      <c r="BU62" s="933">
        <f t="shared" si="34"/>
        <v>100</v>
      </c>
      <c r="BV62" s="1011">
        <f>Кадры!$D62</f>
        <v>0</v>
      </c>
      <c r="BW62" s="1009">
        <f>Кадры!$F62</f>
        <v>0</v>
      </c>
      <c r="BX62" s="933" t="e">
        <f t="shared" si="35"/>
        <v>#DIV/0!</v>
      </c>
      <c r="BY62" s="1022">
        <f>Кадры!$P62</f>
        <v>0</v>
      </c>
      <c r="BZ62" s="1023">
        <f>Кадры!$L62</f>
        <v>0</v>
      </c>
      <c r="CA62" s="1006" t="str">
        <f t="shared" si="36"/>
        <v>нет</v>
      </c>
      <c r="CC62" s="996" t="s">
        <v>333</v>
      </c>
      <c r="CD62" s="268"/>
      <c r="CE62" s="961"/>
      <c r="CG62" s="1028" t="e">
        <f t="array" ref="CG62">SUM(IF($F62:$CA62=нет,0,IF($F62:$CA62&gt;=$F$16:$CA$16,$F$16:$CA$16,IF($F62:$CA62&lt;$F$17:$CA$17,0,$F62:$CA62)))*$F$11:$CA$11*($F$104:$CA$104=CG$4)/$F$16:$CA$16*($F$106:$CA$115*($B$106:$B$115=$B62)*($A$106:$A$115=$A$104)))</f>
        <v>#DIV/0!</v>
      </c>
      <c r="CH62" s="1028" t="e">
        <f t="array" ref="CH62">SUM(IF($F62:$CA62=нет,0,IF($F62:$CA62&gt;=$F$16:$CA$16,$F$16:$CA$16,IF($F62:$CA62&lt;$F$17:$CA$17,0,$F62:$CA62)))*$F$11:$CA$11*($F$104:$CA$104=CH$4)/$F$16:$CA$16*($F$106:$CA$115*($B$106:$B$115=$B62)*($A$106:$A$115=$A$104)))</f>
        <v>#DIV/0!</v>
      </c>
      <c r="CI62" s="1028" t="e">
        <f t="array" ref="CI62">SUM(IF($F62:$CA62=нет,0,IF($F62:$CA62&gt;=$F$16:$CA$16,$F$16:$CA$16,IF($F62:$CA62&lt;$F$17:$CA$17,0,$F62:$CA62)))*$F$11:$CA$11*($F$105:$CA$105=CI$4)/$F$16:$CA$16*($F$106:$CA$115*($B$106:$B$115=$B62)*($A$106:$A$115=$A$104)))</f>
        <v>#DIV/0!</v>
      </c>
      <c r="CJ62" s="1072" t="e">
        <f>'НУ(ВИД3)'!D63</f>
        <v>#DIV/0!</v>
      </c>
      <c r="CK62" s="1028" t="e">
        <f t="array" ref="CK62">SUM(IF($F62:$CA62=нет,0,IF($F62:$CA62&gt;=$F$16:$CA$16,$F$16:$CA$16,IF($F62:$CA62&lt;$F$17:$CA$17,0,$F62:$CA62)))*$F$11:$CA$11*($F$104:$CA$104=CK$4)/$F$16:$CA$16*($F$106:$CA$115*($B$106:$B$115=$B62)*($A$106:$A$115=$A$104)))</f>
        <v>#DIV/0!</v>
      </c>
      <c r="CL62" s="1028" t="e">
        <f t="array" ref="CL62">SUM(IF($F62:$CA62=нет,0,IF($F62:$CA62&gt;=$F$16:$CA$16,$F$16:$CA$16,IF($F62:$CA62&lt;$F$17:$CA$17,0,$F62:$CA62)))*$F$11:$CA$11*($F$104:$CA$104=CL$4)/$F$16:$CA$16*($F$106:$CA$115*($B$106:$B$115=$B62)*($A$106:$A$115=$A$104)))</f>
        <v>#DIV/0!</v>
      </c>
      <c r="CM62" s="1028" t="e">
        <f t="array" ref="CM62">SUM(IF($F62:$CA62=нет,0,IF($F62:$CA62&gt;=$F$16:$CA$16,$F$16:$CA$16,IF($F62:$CA62&lt;$F$17:$CA$17,0,$F62:$CA62)))*$F$11:$CA$11*($F$104:$CA$104=CM$4)/$F$16:$CA$16*($F$106:$CA$115*($B$106:$B$115=$B62)*($A$106:$A$115=$A$104)))</f>
        <v>#DIV/0!</v>
      </c>
      <c r="CO62" s="1029" t="e">
        <f t="array" ref="CO62">SUM(IF($F62:$CA62=нет,0,100)*$F$11:$CA$11*($F$104:$CA$104=CO$4)/100*($F$106:$CA$115*($B$106:$B$115=$B62)*($A$106:$A$115=$A$104)))</f>
        <v>#DIV/0!</v>
      </c>
      <c r="CP62" s="1029" t="e">
        <f t="array" ref="CP62">SUM(IF($F62:$CA62=нет,0,100)*$F$11:$CA$11*($F$104:$CA$104=CP$4)/100*($F$106:$CA$115*($B$106:$B$115=$B62)*($A$106:$A$115=$A$104)))</f>
        <v>#DIV/0!</v>
      </c>
      <c r="CQ62" s="1029" t="e">
        <f t="array" ref="CQ62">SUM(IF($F62:$CA62=нет,0,100)*$F$11:$CA$11*($F$105:$CA$105=CQ$4)/100*($F$106:$CA$115*($B$106:$B$115=$B62)*($A$106:$A$115=$A$104)))</f>
        <v>#DIV/0!</v>
      </c>
      <c r="CR62" s="1057">
        <f>'НУ(ВИД3)'!E63</f>
        <v>21</v>
      </c>
      <c r="CS62" s="1029" t="e">
        <f t="array" ref="CS62">SUM(IF($F62:$CA62=нет,0,100)*$F$11:$CA$11*($F$104:$CA$104=CS$4)/100*($F$106:$CA$115*($B$106:$B$115=$B62)*($A$106:$A$115=$A$104)))</f>
        <v>#DIV/0!</v>
      </c>
      <c r="CT62" s="1029" t="e">
        <f t="array" ref="CT62">SUM(IF($F62:$CA62=нет,0,100)*$F$11:$CA$11*($F$104:$CA$104=CT$4)/100*($F$106:$CA$115*($B$106:$B$115=$B62)*($A$106:$A$115=$A$104)))</f>
        <v>#DIV/0!</v>
      </c>
      <c r="CU62" s="1029" t="e">
        <f t="array" ref="CU62">SUM(IF($F62:$CA62=нет,0,100)*$F$11:$CA$11*($F$104:$CA$104=CU$4)/100*($F$106:$CA$115*($B$106:$B$115=$B62)*($A$106:$A$115=$A$104)))</f>
        <v>#DIV/0!</v>
      </c>
      <c r="CW62" s="1030" t="e">
        <f>SUM(CG62:CH62,CJ62:CM62,'Реестр ППС'!#REF!,' "Вуз зож"'!S62)</f>
        <v>#REF!</v>
      </c>
      <c r="CX62" s="1030" t="e">
        <f>SUM(CO62:CP62,CR62:CU62,'Реестр ППС'!#REF!,' "Вуз зож"'!T62)</f>
        <v>#REF!</v>
      </c>
      <c r="CY62" s="1031" t="e">
        <f t="shared" si="96"/>
        <v>#REF!</v>
      </c>
      <c r="DA62" s="336" t="e">
        <f>SUM(CI62:CK62,CM62,'Реестр ППС'!#REF!,' "Вуз зож"'!S62)</f>
        <v>#REF!</v>
      </c>
      <c r="DB62" s="336" t="e">
        <f>SUM(CQ62:CS62,CU62,'Реестр ППС'!#REF!,' "Вуз зож"'!T62)</f>
        <v>#REF!</v>
      </c>
      <c r="DC62" s="1031" t="e">
        <f t="shared" si="37"/>
        <v>#REF!</v>
      </c>
      <c r="DD62" s="961"/>
      <c r="DE62" s="1032" t="e">
        <f t="shared" si="97"/>
        <v>#DIV/0!</v>
      </c>
      <c r="DF62" s="1032" t="e">
        <f t="shared" si="44"/>
        <v>#DIV/0!</v>
      </c>
      <c r="DG62" s="1032" t="e">
        <f t="shared" si="45"/>
        <v>#DIV/0!</v>
      </c>
      <c r="DH62" s="1032" t="e">
        <f t="shared" si="46"/>
        <v>#DIV/0!</v>
      </c>
      <c r="DI62" s="1032" t="e">
        <f t="shared" si="47"/>
        <v>#DIV/0!</v>
      </c>
      <c r="DJ62" s="1032" t="e">
        <f t="shared" si="48"/>
        <v>#DIV/0!</v>
      </c>
      <c r="DK62" s="1032" t="e">
        <f t="shared" si="49"/>
        <v>#DIV/0!</v>
      </c>
      <c r="DL62" s="334" t="str">
        <f t="shared" si="95"/>
        <v>Социально-гуманитарных наук</v>
      </c>
      <c r="DM62" s="215" t="str">
        <f t="shared" si="94"/>
        <v>ОЗДОРОВЬЯ</v>
      </c>
      <c r="DN62" s="1506" t="e">
        <f t="shared" si="38"/>
        <v>#REF!</v>
      </c>
      <c r="DO62" s="338"/>
      <c r="DP62" s="338"/>
      <c r="DQ62" s="338"/>
      <c r="DR62" s="318"/>
      <c r="DS62" s="318"/>
      <c r="DT62" s="318"/>
      <c r="DU62" s="318"/>
      <c r="DV62" s="318"/>
      <c r="DW62" s="318"/>
      <c r="DX62" s="318"/>
    </row>
    <row r="63" spans="1:128" s="575" customFormat="1" ht="15.75" thickBot="1" x14ac:dyDescent="0.25">
      <c r="A63" s="971" t="s">
        <v>97</v>
      </c>
      <c r="B63" s="1065" t="s">
        <v>7</v>
      </c>
      <c r="C63" s="570">
        <f>Кадры!C63</f>
        <v>0</v>
      </c>
      <c r="D63" s="1066" t="str">
        <f>CC63</f>
        <v>СПО</v>
      </c>
      <c r="E63" s="571" t="s">
        <v>16</v>
      </c>
      <c r="F63" s="571" t="s">
        <v>31</v>
      </c>
      <c r="G63" s="910"/>
      <c r="H63" s="819">
        <f t="shared" si="90"/>
        <v>100</v>
      </c>
      <c r="I63" s="1835"/>
      <c r="J63" s="861">
        <f t="shared" si="91"/>
        <v>100</v>
      </c>
      <c r="K63" s="921">
        <f>МероприятияВуза!$AR63+МероприятияВуза!$AQ63</f>
        <v>0</v>
      </c>
      <c r="L63" s="922">
        <f>МероприятияВуза!$G63+МероприятияВуза!$H63</f>
        <v>0</v>
      </c>
      <c r="M63" s="926" t="str">
        <f t="shared" si="20"/>
        <v>нет</v>
      </c>
      <c r="N63" s="924">
        <f>МероприятияВуза!$AS63</f>
        <v>0</v>
      </c>
      <c r="O63" s="922">
        <f>МероприятияВуза!$I63+МероприятияВуза!$J63</f>
        <v>0</v>
      </c>
      <c r="P63" s="926" t="str">
        <f t="shared" si="21"/>
        <v>нет</v>
      </c>
      <c r="Q63" s="1842"/>
      <c r="R63" s="817">
        <f t="shared" si="22"/>
        <v>100</v>
      </c>
      <c r="S63" s="1846"/>
      <c r="T63" s="1849"/>
      <c r="U63" s="911" t="str">
        <f t="shared" si="23"/>
        <v>нет</v>
      </c>
      <c r="V63" s="865"/>
      <c r="W63" s="910"/>
      <c r="X63" s="911" t="str">
        <f t="shared" si="7"/>
        <v>нет</v>
      </c>
      <c r="Y63" s="1856"/>
      <c r="Z63" s="1859"/>
      <c r="AA63" s="911" t="str">
        <f t="shared" si="8"/>
        <v>нет</v>
      </c>
      <c r="AB63" s="865"/>
      <c r="AC63" s="910"/>
      <c r="AD63" s="911" t="str">
        <f t="shared" si="24"/>
        <v>нет</v>
      </c>
      <c r="AE63" s="948"/>
      <c r="AF63" s="950"/>
      <c r="AG63" s="911" t="str">
        <f t="shared" si="9"/>
        <v>нет</v>
      </c>
      <c r="AH63" s="952"/>
      <c r="AI63" s="950"/>
      <c r="AJ63" s="911" t="str">
        <f t="shared" si="25"/>
        <v>нет</v>
      </c>
      <c r="AK63" s="936">
        <f>ПрофРабота!$Q63</f>
        <v>0</v>
      </c>
      <c r="AL63" s="937">
        <f>ПрофРабота!$R63</f>
        <v>0</v>
      </c>
      <c r="AM63" s="937">
        <f>ПрофРабота!$S63</f>
        <v>0</v>
      </c>
      <c r="AN63" s="819">
        <f>ПрофРабота!$C63</f>
        <v>0</v>
      </c>
      <c r="AO63" s="924">
        <f>МероприятияВуза!$AT63</f>
        <v>0</v>
      </c>
      <c r="AP63" s="922">
        <f>МероприятияВуза!$K63</f>
        <v>0</v>
      </c>
      <c r="AQ63" s="819" t="str">
        <f t="shared" si="26"/>
        <v>нет</v>
      </c>
      <c r="AR63" s="1067">
        <f>'ДПО(Финансы)'!$R63</f>
        <v>88000</v>
      </c>
      <c r="AS63" s="1068">
        <f>'ДПО(Финансы)'!$D63</f>
        <v>88000</v>
      </c>
      <c r="AT63" s="573" t="e">
        <f t="shared" si="27"/>
        <v>#DIV/0!</v>
      </c>
      <c r="AU63" s="1530">
        <f t="shared" si="28"/>
        <v>100</v>
      </c>
      <c r="AV63" s="1067">
        <f>'ДПО(Финансы)'!$R63</f>
        <v>88000</v>
      </c>
      <c r="AW63" s="1068">
        <f>'ИДО(Финансы)'!$R63</f>
        <v>0</v>
      </c>
      <c r="AX63" s="1068">
        <f>'ДПО(Финансы)'!$S63</f>
        <v>0</v>
      </c>
      <c r="AY63" s="1068">
        <f>'ИДО(Финансы)'!$S63</f>
        <v>0</v>
      </c>
      <c r="AZ63" s="840" t="e">
        <f t="shared" si="92"/>
        <v>#DIV/0!</v>
      </c>
      <c r="BA63" s="1531" t="str">
        <f t="array" ref="BA63">IF(($E63="да"),IF($AX63=0,"нет",$AV63/$AX63*100-100),"нет")</f>
        <v>нет</v>
      </c>
      <c r="BB63" s="1532" t="str">
        <f t="array" ref="BB63">IF(($E63="да"),IF($AX63=0,"нет",$AV63/$AX63*100),"нет")</f>
        <v>нет</v>
      </c>
      <c r="BC63" s="1533">
        <f t="shared" si="93"/>
        <v>100</v>
      </c>
      <c r="BD63" s="1533" t="e">
        <f t="array" ref="BD63">IF(($E63="да"),IF($AZ63&gt;$AZ$17,$AZ63/$AZ$16*BD$16,нет),нет)</f>
        <v>#DIV/0!</v>
      </c>
      <c r="BE63" s="1067">
        <f>'ИДО(Финансы)'!$R63</f>
        <v>0</v>
      </c>
      <c r="BF63" s="1068">
        <f>'ИДО(Финансы)'!D63</f>
        <v>0</v>
      </c>
      <c r="BG63" s="573" t="str">
        <f t="shared" si="29"/>
        <v>нет</v>
      </c>
      <c r="BH63" s="1530" t="str">
        <f t="shared" si="30"/>
        <v>нет</v>
      </c>
      <c r="BI63" s="1534">
        <f t="array" ref="BI63">IF(($E63="да")+($F63="да"),IF((BF63+AS63)=0,"нет",(AR63+BE63)/(BF63+AS63)*100),"нет")</f>
        <v>100</v>
      </c>
      <c r="BJ63" s="830">
        <f>Кадры!$I63</f>
        <v>0</v>
      </c>
      <c r="BK63" s="1542">
        <f>Кадры!$O63</f>
        <v>0</v>
      </c>
      <c r="BL63" s="942">
        <f>Кадры!$K63</f>
        <v>0</v>
      </c>
      <c r="BM63" s="822" t="str">
        <f t="array" ref="BM63">IF(BL63=0,"нет",BK63/BL63*100)</f>
        <v>нет</v>
      </c>
      <c r="BN63" s="924">
        <f>Кадры!E63</f>
        <v>0</v>
      </c>
      <c r="BO63" s="942">
        <f>Кадры!$K63</f>
        <v>0</v>
      </c>
      <c r="BP63" s="574" t="str">
        <f t="shared" si="31"/>
        <v>нет</v>
      </c>
      <c r="BQ63" s="342" t="e">
        <f t="shared" si="32"/>
        <v>#DIV/0!</v>
      </c>
      <c r="BR63" s="1542">
        <f>Кадры!$L63</f>
        <v>0</v>
      </c>
      <c r="BS63" s="1546">
        <f>Кадры!$J63</f>
        <v>0</v>
      </c>
      <c r="BT63" s="574">
        <f t="shared" si="33"/>
        <v>0</v>
      </c>
      <c r="BU63" s="819">
        <f t="shared" si="34"/>
        <v>100</v>
      </c>
      <c r="BV63" s="924">
        <f>Кадры!$D63</f>
        <v>0</v>
      </c>
      <c r="BW63" s="922">
        <f>Кадры!$F63</f>
        <v>0</v>
      </c>
      <c r="BX63" s="819" t="e">
        <f t="shared" si="35"/>
        <v>#DIV/0!</v>
      </c>
      <c r="BY63" s="1542">
        <f>Кадры!$P63</f>
        <v>0</v>
      </c>
      <c r="BZ63" s="942">
        <f>Кадры!$L63</f>
        <v>0</v>
      </c>
      <c r="CA63" s="572" t="str">
        <f t="shared" si="36"/>
        <v>нет</v>
      </c>
      <c r="CB63" s="215"/>
      <c r="CC63" s="1066" t="s">
        <v>404</v>
      </c>
      <c r="CD63" s="1069"/>
      <c r="CE63" s="1070"/>
      <c r="CG63" s="1071" t="e">
        <f t="array" ref="CG63">SUM(IF($F63:$CA63=нет,0,IF($F63:$CA63&gt;=$F$16:$CA$16,$F$16:$CA$16,IF($F63:$CA63&lt;$F$17:$CA$17,0,$F63:$CA63)))*$F$11:$CA$11*($F$104:$CA$104=CG$4)/$F$16:$CA$16*($F$106:$CA$115*($B$106:$B$115=$B63)*($A$106:$A$115=$A$104)))</f>
        <v>#DIV/0!</v>
      </c>
      <c r="CH63" s="1071" t="e">
        <f t="array" ref="CH63">SUM(IF($F63:$CA63=нет,0,IF($F63:$CA63&gt;=$F$16:$CA$16,$F$16:$CA$16,IF($F63:$CA63&lt;$F$17:$CA$17,0,$F63:$CA63)))*$F$11:$CA$11*($F$104:$CA$104=CH$4)/$F$16:$CA$16*($F$106:$CA$115*($B$106:$B$115=$B63)*($A$106:$A$115=$A$104)))</f>
        <v>#DIV/0!</v>
      </c>
      <c r="CI63" s="1071" t="e">
        <f t="array" ref="CI63">SUM(IF($F63:$CA63=нет,0,IF($F63:$CA63&gt;=$F$16:$CA$16,$F$16:$CA$16,IF($F63:$CA63&lt;$F$17:$CA$17,0,$F63:$CA63)))*$F$11:$CA$11*($F$105:$CA$105=CI$4)/$F$16:$CA$16*($F$106:$CA$115*($B$106:$B$115=$B63)*($A$106:$A$115=$A$104)))</f>
        <v>#DIV/0!</v>
      </c>
      <c r="CJ63" s="1072" t="e">
        <f>'НУ(ВИД3)'!D64</f>
        <v>#DIV/0!</v>
      </c>
      <c r="CK63" s="1071" t="e">
        <f t="array" ref="CK63">SUM(IF($F63:$CA63=нет,0,IF($F63:$CA63&gt;=$F$16:$CA$16,$F$16:$CA$16,IF($F63:$CA63&lt;$F$17:$CA$17,0,$F63:$CA63)))*$F$11:$CA$11*($F$104:$CA$104=CK$4)/$F$16:$CA$16*($F$106:$CA$115*($B$106:$B$115=$B63)*($A$106:$A$115=$A$104)))</f>
        <v>#DIV/0!</v>
      </c>
      <c r="CL63" s="1071" t="e">
        <f t="array" ref="CL63">SUM(IF($F63:$CA63=нет,0,IF($F63:$CA63&gt;=$F$16:$CA$16,$F$16:$CA$16,IF($F63:$CA63&lt;$F$17:$CA$17,0,$F63:$CA63)))*$F$11:$CA$11*($F$104:$CA$104=CL$4)/$F$16:$CA$16*($F$106:$CA$115*($B$106:$B$115=$B63)*($A$106:$A$115=$A$104)))</f>
        <v>#DIV/0!</v>
      </c>
      <c r="CM63" s="1071" t="e">
        <f t="array" ref="CM63">SUM(IF($F63:$CA63=нет,0,IF($F63:$CA63&gt;=$F$16:$CA$16,$F$16:$CA$16,IF($F63:$CA63&lt;$F$17:$CA$17,0,$F63:$CA63)))*$F$11:$CA$11*($F$104:$CA$104=CM$4)/$F$16:$CA$16*($F$106:$CA$115*($B$106:$B$115=$B63)*($A$106:$A$115=$A$104)))</f>
        <v>#DIV/0!</v>
      </c>
      <c r="CO63" s="1073" t="e">
        <f t="array" ref="CO63">SUM(IF($F63:$CA63=нет,0,100)*$F$11:$CA$11*($F$104:$CA$104=CO$4)/100*($F$106:$CA$115*($B$106:$B$115=$B63)*($A$106:$A$115=$A$104)))</f>
        <v>#DIV/0!</v>
      </c>
      <c r="CP63" s="1073" t="e">
        <f t="array" ref="CP63">SUM(IF($F63:$CA63=нет,0,100)*$F$11:$CA$11*($F$104:$CA$104=CP$4)/100*($F$106:$CA$115*($B$106:$B$115=$B63)*($A$106:$A$115=$A$104)))</f>
        <v>#DIV/0!</v>
      </c>
      <c r="CQ63" s="1073" t="e">
        <f t="array" ref="CQ63">SUM(IF($F63:$CA63=нет,0,100)*$F$11:$CA$11*($F$105:$CA$105=CQ$4)/100*($F$106:$CA$115*($B$106:$B$115=$B63)*($A$106:$A$115=$A$104)))</f>
        <v>#DIV/0!</v>
      </c>
      <c r="CR63" s="1057">
        <f>'НУ(ВИД3)'!E64</f>
        <v>21</v>
      </c>
      <c r="CS63" s="1073" t="e">
        <f t="array" ref="CS63">SUM(IF($F63:$CA63=нет,0,100)*$F$11:$CA$11*($F$104:$CA$104=CS$4)/100*($F$106:$CA$115*($B$106:$B$115=$B63)*($A$106:$A$115=$A$104)))</f>
        <v>#DIV/0!</v>
      </c>
      <c r="CT63" s="1073" t="e">
        <f t="array" ref="CT63">SUM(IF($F63:$CA63=нет,0,100)*$F$11:$CA$11*($F$104:$CA$104=CT$4)/100*($F$106:$CA$115*($B$106:$B$115=$B63)*($A$106:$A$115=$A$104)))</f>
        <v>#DIV/0!</v>
      </c>
      <c r="CU63" s="1073" t="e">
        <f t="array" ref="CU63">SUM(IF($F63:$CA63=нет,0,100)*$F$11:$CA$11*($F$104:$CA$104=CU$4)/100*($F$106:$CA$115*($B$106:$B$115=$B63)*($A$106:$A$115=$A$104)))</f>
        <v>#DIV/0!</v>
      </c>
      <c r="CW63" s="1074" t="e">
        <f>SUM(CG63:CH63,CJ63:CM63,'Реестр ППС'!#REF!,' "Вуз зож"'!S63)</f>
        <v>#REF!</v>
      </c>
      <c r="CX63" s="1074" t="e">
        <f>SUM(CO63:CP63,CR63:CU63,'Реестр ППС'!#REF!,' "Вуз зож"'!T63)</f>
        <v>#REF!</v>
      </c>
      <c r="CY63" s="1075" t="e">
        <f t="shared" si="96"/>
        <v>#REF!</v>
      </c>
      <c r="DA63" s="1076" t="e">
        <f>SUM(CI63:CK63,CM63,'Реестр ППС'!#REF!,' "Вуз зож"'!S63)</f>
        <v>#REF!</v>
      </c>
      <c r="DB63" s="1076" t="e">
        <f>SUM(CQ63:CS63,CU63,'Реестр ППС'!#REF!,' "Вуз зож"'!T63)</f>
        <v>#REF!</v>
      </c>
      <c r="DC63" s="1075" t="e">
        <f t="shared" si="37"/>
        <v>#REF!</v>
      </c>
      <c r="DD63" s="1070"/>
      <c r="DE63" s="1077" t="e">
        <f t="shared" si="97"/>
        <v>#DIV/0!</v>
      </c>
      <c r="DF63" s="1077" t="e">
        <f t="shared" si="44"/>
        <v>#DIV/0!</v>
      </c>
      <c r="DG63" s="1077" t="e">
        <f t="shared" si="45"/>
        <v>#DIV/0!</v>
      </c>
      <c r="DH63" s="1077" t="e">
        <f t="shared" si="46"/>
        <v>#DIV/0!</v>
      </c>
      <c r="DI63" s="1077" t="e">
        <f t="shared" si="47"/>
        <v>#DIV/0!</v>
      </c>
      <c r="DJ63" s="1077" t="e">
        <f t="shared" si="48"/>
        <v>#DIV/0!</v>
      </c>
      <c r="DK63" s="1077" t="e">
        <f t="shared" si="49"/>
        <v>#DIV/0!</v>
      </c>
      <c r="DL63" s="1078" t="str">
        <f t="shared" si="95"/>
        <v>Сестринского дела</v>
      </c>
      <c r="DM63" s="575" t="str">
        <f t="shared" si="94"/>
        <v>СПО</v>
      </c>
      <c r="DN63" s="1503" t="e">
        <f t="shared" si="38"/>
        <v>#REF!</v>
      </c>
      <c r="DO63" s="338"/>
      <c r="DP63" s="338"/>
      <c r="DQ63" s="338"/>
      <c r="DR63" s="318"/>
      <c r="DS63" s="318"/>
      <c r="DT63" s="318"/>
      <c r="DU63" s="318"/>
      <c r="DV63" s="318"/>
      <c r="DW63" s="318"/>
      <c r="DX63" s="318"/>
    </row>
    <row r="64" spans="1:128" s="1055" customFormat="1" ht="15.75" thickBot="1" x14ac:dyDescent="0.25">
      <c r="A64" s="569" t="s">
        <v>379</v>
      </c>
      <c r="B64" s="976" t="s">
        <v>7</v>
      </c>
      <c r="C64" s="565">
        <f>Кадры!C64</f>
        <v>0</v>
      </c>
      <c r="D64" s="988" t="str">
        <f t="shared" si="19"/>
        <v>ФАРМ</v>
      </c>
      <c r="E64" s="568" t="s">
        <v>16</v>
      </c>
      <c r="F64" s="568" t="s">
        <v>31</v>
      </c>
      <c r="G64" s="576"/>
      <c r="H64" s="934">
        <f t="shared" si="90"/>
        <v>100</v>
      </c>
      <c r="I64" s="1836"/>
      <c r="J64" s="1034">
        <f t="shared" si="91"/>
        <v>100</v>
      </c>
      <c r="K64" s="1035">
        <f>МероприятияВуза!$AR64+МероприятияВуза!$AQ64</f>
        <v>0</v>
      </c>
      <c r="L64" s="1036">
        <f>МероприятияВуза!$G64+МероприятияВуза!$H64</f>
        <v>0</v>
      </c>
      <c r="M64" s="1037" t="str">
        <f t="shared" si="20"/>
        <v>нет</v>
      </c>
      <c r="N64" s="1038">
        <f>МероприятияВуза!$AS64</f>
        <v>0</v>
      </c>
      <c r="O64" s="1036">
        <f>МероприятияВуза!$I64+МероприятияВуза!$J64</f>
        <v>0</v>
      </c>
      <c r="P64" s="1037" t="str">
        <f t="shared" si="21"/>
        <v>нет</v>
      </c>
      <c r="Q64" s="1843"/>
      <c r="R64" s="817">
        <f t="shared" si="22"/>
        <v>100</v>
      </c>
      <c r="S64" s="1852"/>
      <c r="T64" s="1845"/>
      <c r="U64" s="908" t="str">
        <f t="shared" si="23"/>
        <v>нет</v>
      </c>
      <c r="V64" s="1039"/>
      <c r="W64" s="576"/>
      <c r="X64" s="908" t="str">
        <f t="shared" si="7"/>
        <v>нет</v>
      </c>
      <c r="Y64" s="1862"/>
      <c r="Z64" s="1855"/>
      <c r="AA64" s="908" t="str">
        <f t="shared" si="8"/>
        <v>нет</v>
      </c>
      <c r="AB64" s="1039"/>
      <c r="AC64" s="576"/>
      <c r="AD64" s="908" t="str">
        <f t="shared" si="24"/>
        <v>нет</v>
      </c>
      <c r="AE64" s="1041"/>
      <c r="AF64" s="1042"/>
      <c r="AG64" s="908" t="str">
        <f t="shared" si="9"/>
        <v>нет</v>
      </c>
      <c r="AH64" s="1043"/>
      <c r="AI64" s="1042"/>
      <c r="AJ64" s="908" t="str">
        <f t="shared" si="25"/>
        <v>нет</v>
      </c>
      <c r="AK64" s="1044">
        <f>ПрофРабота!$Q64</f>
        <v>0</v>
      </c>
      <c r="AL64" s="577">
        <f>ПрофРабота!$R64</f>
        <v>0</v>
      </c>
      <c r="AM64" s="577">
        <f>ПрофРабота!$S64</f>
        <v>0</v>
      </c>
      <c r="AN64" s="934">
        <f>ПрофРабота!$C64</f>
        <v>0</v>
      </c>
      <c r="AO64" s="1038">
        <f>МероприятияВуза!$AT64</f>
        <v>0</v>
      </c>
      <c r="AP64" s="1036">
        <f>МероприятияВуза!$K64</f>
        <v>0</v>
      </c>
      <c r="AQ64" s="934" t="str">
        <f t="shared" si="26"/>
        <v>нет</v>
      </c>
      <c r="AR64" s="1045">
        <f>'ДПО(Финансы)'!$R64</f>
        <v>72563</v>
      </c>
      <c r="AS64" s="1046">
        <f>'ДПО(Финансы)'!$D64</f>
        <v>30000</v>
      </c>
      <c r="AT64" s="1047" t="e">
        <f t="shared" si="27"/>
        <v>#DIV/0!</v>
      </c>
      <c r="AU64" s="1514">
        <f t="shared" si="28"/>
        <v>241.87666666666667</v>
      </c>
      <c r="AV64" s="1529">
        <f>'ДПО(Финансы)'!$R64</f>
        <v>72563</v>
      </c>
      <c r="AW64" s="1046">
        <f>'ИДО(Финансы)'!$R64</f>
        <v>112500</v>
      </c>
      <c r="AX64" s="1046">
        <f>'ДПО(Финансы)'!$S64</f>
        <v>196725</v>
      </c>
      <c r="AY64" s="1046">
        <f>'ИДО(Финансы)'!$S64</f>
        <v>229100</v>
      </c>
      <c r="AZ64" s="1049" t="e">
        <f t="shared" si="92"/>
        <v>#DIV/0!</v>
      </c>
      <c r="BA64" s="1515">
        <f t="array" ref="BA64">IF(($E64="да"),IF($AX64=0,"нет",$AV64/$AX64*100-100),"нет")</f>
        <v>-63.114499936459524</v>
      </c>
      <c r="BB64" s="1516">
        <f t="array" ref="BB64">IF(($E64="да"),IF($AX64=0,"нет",$AV64/$AX64*100),"нет")</f>
        <v>36.885500063540476</v>
      </c>
      <c r="BC64" s="1517">
        <f t="shared" si="93"/>
        <v>241.87666666666667</v>
      </c>
      <c r="BD64" s="1517" t="e">
        <f t="array" ref="BD64">IF(($E64="да"),IF($AZ64&gt;$AZ$17,$AZ64/$AZ$16*BD$16,нет),нет)</f>
        <v>#DIV/0!</v>
      </c>
      <c r="BE64" s="1045">
        <f>'ИДО(Финансы)'!$R64</f>
        <v>112500</v>
      </c>
      <c r="BF64" s="1046">
        <f>'ИДО(Финансы)'!D64</f>
        <v>112500</v>
      </c>
      <c r="BG64" s="1047" t="str">
        <f t="shared" si="29"/>
        <v>нет</v>
      </c>
      <c r="BH64" s="1514" t="str">
        <f t="shared" si="30"/>
        <v>нет</v>
      </c>
      <c r="BI64" s="1518">
        <f t="array" ref="BI64">IF(($E64="да")+($F64="да"),IF((BF64+AS64)=0,"нет",(AR64+BE64)/(BF64+AS64)*100),"нет")</f>
        <v>129.86877192982456</v>
      </c>
      <c r="BJ64" s="1051">
        <f>Кадры!$I64</f>
        <v>0</v>
      </c>
      <c r="BK64" s="1048">
        <f>Кадры!$O64</f>
        <v>0</v>
      </c>
      <c r="BL64" s="943">
        <f>Кадры!$K64</f>
        <v>0</v>
      </c>
      <c r="BM64" s="1052" t="str">
        <f t="array" ref="BM64">IF(BL64=0,"нет",BK64/BL64*100)</f>
        <v>нет</v>
      </c>
      <c r="BN64" s="1038">
        <f>Кадры!E64</f>
        <v>0</v>
      </c>
      <c r="BO64" s="943">
        <f>Кадры!$K64</f>
        <v>0</v>
      </c>
      <c r="BP64" s="1050" t="str">
        <f t="shared" si="31"/>
        <v>нет</v>
      </c>
      <c r="BQ64" s="342" t="e">
        <f t="shared" si="32"/>
        <v>#DIV/0!</v>
      </c>
      <c r="BR64" s="1048">
        <f>Кадры!$L64</f>
        <v>0</v>
      </c>
      <c r="BS64" s="1543">
        <f>Кадры!$J64</f>
        <v>0</v>
      </c>
      <c r="BT64" s="1050">
        <f t="shared" si="33"/>
        <v>0</v>
      </c>
      <c r="BU64" s="934">
        <f t="shared" si="34"/>
        <v>100</v>
      </c>
      <c r="BV64" s="1038">
        <f>Кадры!$D64</f>
        <v>0</v>
      </c>
      <c r="BW64" s="1036">
        <f>Кадры!$F64</f>
        <v>0</v>
      </c>
      <c r="BX64" s="934" t="e">
        <f t="shared" si="35"/>
        <v>#DIV/0!</v>
      </c>
      <c r="BY64" s="1048">
        <f>Кадры!$P64</f>
        <v>0</v>
      </c>
      <c r="BZ64" s="943">
        <f>Кадры!$L64</f>
        <v>0</v>
      </c>
      <c r="CA64" s="1033" t="str">
        <f t="shared" si="36"/>
        <v>нет</v>
      </c>
      <c r="CB64" s="215"/>
      <c r="CC64" s="988" t="s">
        <v>114</v>
      </c>
      <c r="CD64" s="1053"/>
      <c r="CE64" s="1054"/>
      <c r="CG64" s="1056" t="e">
        <f t="array" ref="CG64">SUM(IF($F64:$CA64=нет,0,IF($F64:$CA64&gt;=$F$16:$CA$16,$F$16:$CA$16,IF($F64:$CA64&lt;$F$17:$CA$17,0,$F64:$CA64)))*$F$11:$CA$11*($F$104:$CA$104=CG$4)/$F$16:$CA$16*($F$106:$CA$115*($B$106:$B$115=$B64)*($A$106:$A$115=$A$104)))</f>
        <v>#DIV/0!</v>
      </c>
      <c r="CH64" s="1056" t="e">
        <f t="array" ref="CH64">SUM(IF($F64:$CA64=нет,0,IF($F64:$CA64&gt;=$F$16:$CA$16,$F$16:$CA$16,IF($F64:$CA64&lt;$F$17:$CA$17,0,$F64:$CA64)))*$F$11:$CA$11*($F$104:$CA$104=CH$4)/$F$16:$CA$16*($F$106:$CA$115*($B$106:$B$115=$B64)*($A$106:$A$115=$A$104)))</f>
        <v>#DIV/0!</v>
      </c>
      <c r="CI64" s="1056" t="e">
        <f t="array" ref="CI64">SUM(IF($F64:$CA64=нет,0,IF($F64:$CA64&gt;=$F$16:$CA$16,$F$16:$CA$16,IF($F64:$CA64&lt;$F$17:$CA$17,0,$F64:$CA64)))*$F$11:$CA$11*($F$105:$CA$105=CI$4)/$F$16:$CA$16*($F$106:$CA$115*($B$106:$B$115=$B64)*($A$106:$A$115=$A$104)))</f>
        <v>#DIV/0!</v>
      </c>
      <c r="CJ64" s="1072" t="e">
        <f>'НУ(ВИД3)'!D65</f>
        <v>#DIV/0!</v>
      </c>
      <c r="CK64" s="1056" t="e">
        <f t="array" ref="CK64">SUM(IF($F64:$CA64=нет,0,IF($F64:$CA64&gt;=$F$16:$CA$16,$F$16:$CA$16,IF($F64:$CA64&lt;$F$17:$CA$17,0,$F64:$CA64)))*$F$11:$CA$11*($F$104:$CA$104=CK$4)/$F$16:$CA$16*($F$106:$CA$115*($B$106:$B$115=$B64)*($A$106:$A$115=$A$104)))</f>
        <v>#DIV/0!</v>
      </c>
      <c r="CL64" s="1056" t="e">
        <f t="array" ref="CL64">SUM(IF($F64:$CA64=нет,0,IF($F64:$CA64&gt;=$F$16:$CA$16,$F$16:$CA$16,IF($F64:$CA64&lt;$F$17:$CA$17,0,$F64:$CA64)))*$F$11:$CA$11*($F$104:$CA$104=CL$4)/$F$16:$CA$16*($F$106:$CA$115*($B$106:$B$115=$B64)*($A$106:$A$115=$A$104)))</f>
        <v>#DIV/0!</v>
      </c>
      <c r="CM64" s="1056" t="e">
        <f t="array" ref="CM64">SUM(IF($F64:$CA64=нет,0,IF($F64:$CA64&gt;=$F$16:$CA$16,$F$16:$CA$16,IF($F64:$CA64&lt;$F$17:$CA$17,0,$F64:$CA64)))*$F$11:$CA$11*($F$104:$CA$104=CM$4)/$F$16:$CA$16*($F$106:$CA$115*($B$106:$B$115=$B64)*($A$106:$A$115=$A$104)))</f>
        <v>#DIV/0!</v>
      </c>
      <c r="CO64" s="1057" t="e">
        <f t="array" ref="CO64">SUM(IF($F64:$CA64=нет,0,100)*$F$11:$CA$11*($F$104:$CA$104=CO$4)/100*($F$106:$CA$115*($B$106:$B$115=$B64)*($A$106:$A$115=$A$104)))</f>
        <v>#DIV/0!</v>
      </c>
      <c r="CP64" s="1057" t="e">
        <f t="array" ref="CP64">SUM(IF($F64:$CA64=нет,0,100)*$F$11:$CA$11*($F$104:$CA$104=CP$4)/100*($F$106:$CA$115*($B$106:$B$115=$B64)*($A$106:$A$115=$A$104)))</f>
        <v>#DIV/0!</v>
      </c>
      <c r="CQ64" s="1057" t="e">
        <f t="array" ref="CQ64">SUM(IF($F64:$CA64=нет,0,100)*$F$11:$CA$11*($F$105:$CA$105=CQ$4)/100*($F$106:$CA$115*($B$106:$B$115=$B64)*($A$106:$A$115=$A$104)))</f>
        <v>#DIV/0!</v>
      </c>
      <c r="CR64" s="1057">
        <f>'НУ(ВИД3)'!E65</f>
        <v>21</v>
      </c>
      <c r="CS64" s="1057" t="e">
        <f t="array" ref="CS64">SUM(IF($F64:$CA64=нет,0,100)*$F$11:$CA$11*($F$104:$CA$104=CS$4)/100*($F$106:$CA$115*($B$106:$B$115=$B64)*($A$106:$A$115=$A$104)))</f>
        <v>#DIV/0!</v>
      </c>
      <c r="CT64" s="1057" t="e">
        <f t="array" ref="CT64">SUM(IF($F64:$CA64=нет,0,100)*$F$11:$CA$11*($F$104:$CA$104=CT$4)/100*($F$106:$CA$115*($B$106:$B$115=$B64)*($A$106:$A$115=$A$104)))</f>
        <v>#DIV/0!</v>
      </c>
      <c r="CU64" s="1057" t="e">
        <f t="array" ref="CU64">SUM(IF($F64:$CA64=нет,0,100)*$F$11:$CA$11*($F$104:$CA$104=CU$4)/100*($F$106:$CA$115*($B$106:$B$115=$B64)*($A$106:$A$115=$A$104)))</f>
        <v>#DIV/0!</v>
      </c>
      <c r="CW64" s="1059" t="e">
        <f>SUM(CG64:CH64,CJ64:CM64,'Реестр ППС'!#REF!,' "Вуз зож"'!S64)</f>
        <v>#REF!</v>
      </c>
      <c r="CX64" s="1059" t="e">
        <f>SUM(CO64:CP64,CR64:CU64,'Реестр ППС'!#REF!,' "Вуз зож"'!T64)</f>
        <v>#REF!</v>
      </c>
      <c r="CY64" s="1058" t="e">
        <f t="shared" si="96"/>
        <v>#REF!</v>
      </c>
      <c r="DA64" s="1060" t="e">
        <f>SUM(CI64:CK64,CM64,'Реестр ППС'!#REF!,' "Вуз зож"'!S64)</f>
        <v>#REF!</v>
      </c>
      <c r="DB64" s="1060" t="e">
        <f>SUM(CQ64:CS64,CU64,'Реестр ППС'!#REF!,' "Вуз зож"'!T64)</f>
        <v>#REF!</v>
      </c>
      <c r="DC64" s="1058" t="e">
        <f t="shared" si="37"/>
        <v>#REF!</v>
      </c>
      <c r="DD64" s="1054"/>
      <c r="DE64" s="1061" t="e">
        <f t="shared" si="97"/>
        <v>#DIV/0!</v>
      </c>
      <c r="DF64" s="1061" t="e">
        <f t="shared" si="44"/>
        <v>#DIV/0!</v>
      </c>
      <c r="DG64" s="1061" t="e">
        <f t="shared" si="45"/>
        <v>#DIV/0!</v>
      </c>
      <c r="DH64" s="1061" t="e">
        <f t="shared" si="46"/>
        <v>#DIV/0!</v>
      </c>
      <c r="DI64" s="1061" t="e">
        <f t="shared" si="47"/>
        <v>#DIV/0!</v>
      </c>
      <c r="DJ64" s="1061" t="e">
        <f t="shared" si="48"/>
        <v>#DIV/0!</v>
      </c>
      <c r="DK64" s="1061" t="e">
        <f t="shared" si="49"/>
        <v>#DIV/0!</v>
      </c>
      <c r="DL64" s="1062" t="str">
        <f t="shared" si="95"/>
        <v>Биологической химии, клинической лабораторной диагностики</v>
      </c>
      <c r="DM64" s="1055" t="str">
        <f t="shared" si="94"/>
        <v>ФАРМ</v>
      </c>
      <c r="DN64" s="1504" t="e">
        <f t="shared" si="38"/>
        <v>#REF!</v>
      </c>
      <c r="DO64" s="338"/>
      <c r="DP64" s="338"/>
      <c r="DQ64" s="338"/>
      <c r="DR64" s="318"/>
      <c r="DS64" s="318"/>
      <c r="DT64" s="318"/>
      <c r="DU64" s="318"/>
      <c r="DV64" s="318"/>
      <c r="DW64" s="318"/>
      <c r="DX64" s="318"/>
    </row>
    <row r="65" spans="1:128" s="215" customFormat="1" ht="15.75" thickBot="1" x14ac:dyDescent="0.25">
      <c r="A65" s="550" t="s">
        <v>380</v>
      </c>
      <c r="B65" s="340" t="s">
        <v>7</v>
      </c>
      <c r="C65" s="482">
        <f>Кадры!C65</f>
        <v>0</v>
      </c>
      <c r="D65" s="989" t="str">
        <f t="shared" si="19"/>
        <v>ФАРМ</v>
      </c>
      <c r="E65" s="341" t="s">
        <v>16</v>
      </c>
      <c r="F65" s="341" t="s">
        <v>31</v>
      </c>
      <c r="G65" s="909"/>
      <c r="H65" s="817">
        <f t="shared" si="90"/>
        <v>100</v>
      </c>
      <c r="I65" s="1748"/>
      <c r="J65" s="860">
        <f t="shared" si="91"/>
        <v>100</v>
      </c>
      <c r="K65" s="920">
        <f>МероприятияВуза!$AR65+МероприятияВуза!$AQ65</f>
        <v>0</v>
      </c>
      <c r="L65" s="919">
        <f>МероприятияВуза!$G65+МероприятияВуза!$H65</f>
        <v>0</v>
      </c>
      <c r="M65" s="925" t="str">
        <f t="shared" si="20"/>
        <v>нет</v>
      </c>
      <c r="N65" s="923">
        <f>МероприятияВуза!$AS65</f>
        <v>0</v>
      </c>
      <c r="O65" s="919">
        <f>МероприятияВуза!$I65+МероприятияВуза!$J65</f>
        <v>0</v>
      </c>
      <c r="P65" s="925" t="str">
        <f t="shared" si="21"/>
        <v>нет</v>
      </c>
      <c r="Q65" s="1844"/>
      <c r="R65" s="817">
        <f t="shared" si="22"/>
        <v>100</v>
      </c>
      <c r="S65" s="1847"/>
      <c r="T65" s="1848"/>
      <c r="U65" s="844" t="str">
        <f t="shared" si="23"/>
        <v>нет</v>
      </c>
      <c r="V65" s="904"/>
      <c r="W65" s="909"/>
      <c r="X65" s="844" t="str">
        <f t="shared" si="7"/>
        <v>нет</v>
      </c>
      <c r="Y65" s="1857"/>
      <c r="Z65" s="1858"/>
      <c r="AA65" s="844" t="str">
        <f t="shared" si="8"/>
        <v>нет</v>
      </c>
      <c r="AB65" s="1748"/>
      <c r="AC65" s="909"/>
      <c r="AD65" s="912" t="str">
        <f t="shared" si="24"/>
        <v>нет</v>
      </c>
      <c r="AE65" s="947"/>
      <c r="AF65" s="949"/>
      <c r="AG65" s="844" t="str">
        <f t="shared" si="9"/>
        <v>нет</v>
      </c>
      <c r="AH65" s="951"/>
      <c r="AI65" s="949"/>
      <c r="AJ65" s="844" t="str">
        <f t="shared" si="25"/>
        <v>нет</v>
      </c>
      <c r="AK65" s="935">
        <f>ПрофРабота!$Q65</f>
        <v>0</v>
      </c>
      <c r="AL65" s="485">
        <f>ПрофРабота!$R65</f>
        <v>0</v>
      </c>
      <c r="AM65" s="485">
        <f>ПрофРабота!$S65</f>
        <v>0</v>
      </c>
      <c r="AN65" s="817">
        <f>ПрофРабота!$C65</f>
        <v>0</v>
      </c>
      <c r="AO65" s="923">
        <f>МероприятияВуза!$AT65</f>
        <v>0</v>
      </c>
      <c r="AP65" s="919">
        <f>МероприятияВуза!$K65</f>
        <v>0</v>
      </c>
      <c r="AQ65" s="817" t="str">
        <f t="shared" si="26"/>
        <v>нет</v>
      </c>
      <c r="AR65" s="938">
        <f>'ДПО(Финансы)'!$R65</f>
        <v>0</v>
      </c>
      <c r="AS65" s="939">
        <f>'ДПО(Финансы)'!$D65</f>
        <v>0</v>
      </c>
      <c r="AT65" s="510">
        <f t="shared" si="27"/>
        <v>0</v>
      </c>
      <c r="AU65" s="1519" t="str">
        <f t="shared" si="28"/>
        <v>нет</v>
      </c>
      <c r="AV65" s="938">
        <f>'ДПО(Финансы)'!$R65</f>
        <v>0</v>
      </c>
      <c r="AW65" s="939">
        <f>'ИДО(Финансы)'!$R65</f>
        <v>559400</v>
      </c>
      <c r="AX65" s="939">
        <f>'ДПО(Финансы)'!$S65</f>
        <v>0</v>
      </c>
      <c r="AY65" s="939">
        <f>'ИДО(Финансы)'!$S65</f>
        <v>498814.58</v>
      </c>
      <c r="AZ65" s="839" t="e">
        <f t="shared" si="92"/>
        <v>#DIV/0!</v>
      </c>
      <c r="BA65" s="1520" t="str">
        <f t="array" ref="BA65">IF(($E65="да"),IF($AX65=0,"нет",$AV65/$AX65*100-100),"нет")</f>
        <v>нет</v>
      </c>
      <c r="BB65" s="1521" t="str">
        <f t="array" ref="BB65">IF(($E65="да"),IF($AX65=0,"нет",$AV65/$AX65*100),"нет")</f>
        <v>нет</v>
      </c>
      <c r="BC65" s="1522" t="str">
        <f t="shared" si="93"/>
        <v>нет</v>
      </c>
      <c r="BD65" s="1522" t="e">
        <f t="array" ref="BD65">IF(($E65="да"),IF($AZ65&gt;$AZ$17,$AZ65/$AZ$16*BD$16,нет),нет)</f>
        <v>#DIV/0!</v>
      </c>
      <c r="BE65" s="938">
        <f>'ИДО(Финансы)'!$R65</f>
        <v>559400</v>
      </c>
      <c r="BF65" s="939">
        <f>'ИДО(Финансы)'!D65</f>
        <v>559400</v>
      </c>
      <c r="BG65" s="510" t="str">
        <f t="shared" si="29"/>
        <v>нет</v>
      </c>
      <c r="BH65" s="1519" t="str">
        <f t="shared" si="30"/>
        <v>нет</v>
      </c>
      <c r="BI65" s="1523">
        <f t="array" ref="BI65">IF(($E65="да")+($F65="да"),IF((BF65+AS65)=0,"нет",(AR65+BE65)/(BF65+AS65)*100),"нет")</f>
        <v>100</v>
      </c>
      <c r="BJ65" s="829">
        <f>Кадры!$I65</f>
        <v>0</v>
      </c>
      <c r="BK65" s="940">
        <f>Кадры!$O65</f>
        <v>0</v>
      </c>
      <c r="BL65" s="941">
        <f>Кадры!$K65</f>
        <v>0</v>
      </c>
      <c r="BM65" s="821" t="str">
        <f t="array" ref="BM65">IF(BL65=0,"нет",BK65/BL65*100)</f>
        <v>нет</v>
      </c>
      <c r="BN65" s="923">
        <f>Кадры!E65</f>
        <v>0</v>
      </c>
      <c r="BO65" s="941">
        <f>Кадры!$K65</f>
        <v>0</v>
      </c>
      <c r="BP65" s="343" t="str">
        <f t="shared" si="31"/>
        <v>нет</v>
      </c>
      <c r="BQ65" s="342" t="e">
        <f t="shared" si="32"/>
        <v>#DIV/0!</v>
      </c>
      <c r="BR65" s="940">
        <f>Кадры!$L65</f>
        <v>0</v>
      </c>
      <c r="BS65" s="1544">
        <f>Кадры!$J65</f>
        <v>0</v>
      </c>
      <c r="BT65" s="343">
        <f t="shared" si="33"/>
        <v>0</v>
      </c>
      <c r="BU65" s="817">
        <f t="shared" si="34"/>
        <v>100</v>
      </c>
      <c r="BV65" s="923">
        <f>Кадры!$D65</f>
        <v>0</v>
      </c>
      <c r="BW65" s="919">
        <f>Кадры!$F65</f>
        <v>0</v>
      </c>
      <c r="BX65" s="817" t="e">
        <f t="shared" si="35"/>
        <v>#DIV/0!</v>
      </c>
      <c r="BY65" s="940">
        <f>Кадры!$P65</f>
        <v>0</v>
      </c>
      <c r="BZ65" s="941">
        <f>Кадры!$L65</f>
        <v>0</v>
      </c>
      <c r="CA65" s="342" t="str">
        <f t="shared" si="36"/>
        <v>нет</v>
      </c>
      <c r="CC65" s="989" t="s">
        <v>114</v>
      </c>
      <c r="CD65" s="268"/>
      <c r="CE65" s="961"/>
      <c r="CG65" s="335" t="e">
        <f t="array" ref="CG65">SUM(IF($F65:$CA65=нет,0,IF($F65:$CA65&gt;=$F$16:$CA$16,$F$16:$CA$16,IF($F65:$CA65&lt;$F$17:$CA$17,0,$F65:$CA65)))*$F$11:$CA$11*($F$104:$CA$104=CG$4)/$F$16:$CA$16*($F$106:$CA$115*($B$106:$B$115=$B65)*($A$106:$A$115=$A$104)))</f>
        <v>#DIV/0!</v>
      </c>
      <c r="CH65" s="335" t="e">
        <f t="array" ref="CH65">SUM(IF($F65:$CA65=нет,0,IF($F65:$CA65&gt;=$F$16:$CA$16,$F$16:$CA$16,IF($F65:$CA65&lt;$F$17:$CA$17,0,$F65:$CA65)))*$F$11:$CA$11*($F$104:$CA$104=CH$4)/$F$16:$CA$16*($F$106:$CA$115*($B$106:$B$115=$B65)*($A$106:$A$115=$A$104)))</f>
        <v>#DIV/0!</v>
      </c>
      <c r="CI65" s="335" t="e">
        <f t="array" ref="CI65">SUM(IF($F65:$CA65=нет,0,IF($F65:$CA65&gt;=$F$16:$CA$16,$F$16:$CA$16,IF($F65:$CA65&lt;$F$17:$CA$17,0,$F65:$CA65)))*$F$11:$CA$11*($F$105:$CA$105=CI$4)/$F$16:$CA$16*($F$106:$CA$115*($B$106:$B$115=$B65)*($A$106:$A$115=$A$104)))</f>
        <v>#DIV/0!</v>
      </c>
      <c r="CJ65" s="1072" t="e">
        <f>'НУ(ВИД3)'!D66</f>
        <v>#DIV/0!</v>
      </c>
      <c r="CK65" s="335" t="e">
        <f t="array" ref="CK65">SUM(IF($F65:$CA65=нет,0,IF($F65:$CA65&gt;=$F$16:$CA$16,$F$16:$CA$16,IF($F65:$CA65&lt;$F$17:$CA$17,0,$F65:$CA65)))*$F$11:$CA$11*($F$104:$CA$104=CK$4)/$F$16:$CA$16*($F$106:$CA$115*($B$106:$B$115=$B65)*($A$106:$A$115=$A$104)))</f>
        <v>#DIV/0!</v>
      </c>
      <c r="CL65" s="335" t="e">
        <f t="array" ref="CL65">SUM(IF($F65:$CA65=нет,0,IF($F65:$CA65&gt;=$F$16:$CA$16,$F$16:$CA$16,IF($F65:$CA65&lt;$F$17:$CA$17,0,$F65:$CA65)))*$F$11:$CA$11*($F$104:$CA$104=CL$4)/$F$16:$CA$16*($F$106:$CA$115*($B$106:$B$115=$B65)*($A$106:$A$115=$A$104)))</f>
        <v>#DIV/0!</v>
      </c>
      <c r="CM65" s="335" t="e">
        <f t="array" ref="CM65">SUM(IF($F65:$CA65=нет,0,IF($F65:$CA65&gt;=$F$16:$CA$16,$F$16:$CA$16,IF($F65:$CA65&lt;$F$17:$CA$17,0,$F65:$CA65)))*$F$11:$CA$11*($F$104:$CA$104=CM$4)/$F$16:$CA$16*($F$106:$CA$115*($B$106:$B$115=$B65)*($A$106:$A$115=$A$104)))</f>
        <v>#DIV/0!</v>
      </c>
      <c r="CO65" s="1000" t="e">
        <f t="array" ref="CO65">SUM(IF($F65:$CA65=нет,0,100)*$F$11:$CA$11*($F$104:$CA$104=CO$4)/100*($F$106:$CA$115*($B$106:$B$115=$B65)*($A$106:$A$115=$A$104)))</f>
        <v>#DIV/0!</v>
      </c>
      <c r="CP65" s="1000" t="e">
        <f t="array" ref="CP65">SUM(IF($F65:$CA65=нет,0,100)*$F$11:$CA$11*($F$104:$CA$104=CP$4)/100*($F$106:$CA$115*($B$106:$B$115=$B65)*($A$106:$A$115=$A$104)))</f>
        <v>#DIV/0!</v>
      </c>
      <c r="CQ65" s="1000" t="e">
        <f t="array" ref="CQ65">SUM(IF($F65:$CA65=нет,0,100)*$F$11:$CA$11*($F$105:$CA$105=CQ$4)/100*($F$106:$CA$115*($B$106:$B$115=$B65)*($A$106:$A$115=$A$104)))</f>
        <v>#DIV/0!</v>
      </c>
      <c r="CR65" s="1057">
        <f>'НУ(ВИД3)'!E66</f>
        <v>21</v>
      </c>
      <c r="CS65" s="1000" t="e">
        <f t="array" ref="CS65">SUM(IF($F65:$CA65=нет,0,100)*$F$11:$CA$11*($F$104:$CA$104=CS$4)/100*($F$106:$CA$115*($B$106:$B$115=$B65)*($A$106:$A$115=$A$104)))</f>
        <v>#DIV/0!</v>
      </c>
      <c r="CT65" s="1000" t="e">
        <f t="array" ref="CT65">SUM(IF($F65:$CA65=нет,0,100)*$F$11:$CA$11*($F$104:$CA$104=CT$4)/100*($F$106:$CA$115*($B$106:$B$115=$B65)*($A$106:$A$115=$A$104)))</f>
        <v>#DIV/0!</v>
      </c>
      <c r="CU65" s="1000" t="e">
        <f t="array" ref="CU65">SUM(IF($F65:$CA65=нет,0,100)*$F$11:$CA$11*($F$104:$CA$104=CU$4)/100*($F$106:$CA$115*($B$106:$B$115=$B65)*($A$106:$A$115=$A$104)))</f>
        <v>#DIV/0!</v>
      </c>
      <c r="CW65" s="333" t="e">
        <f>SUM(CG65:CH65,CJ65:CM65,'Реестр ППС'!#REF!,' "Вуз зож"'!S65)</f>
        <v>#REF!</v>
      </c>
      <c r="CX65" s="333" t="e">
        <f>SUM(CO65:CP65,CR65:CU65,'Реестр ППС'!#REF!,' "Вуз зож"'!T65)</f>
        <v>#REF!</v>
      </c>
      <c r="CY65" s="332" t="e">
        <f t="shared" si="96"/>
        <v>#REF!</v>
      </c>
      <c r="DA65" s="336" t="e">
        <f>SUM(CI65:CK65,CM65,'Реестр ППС'!#REF!,' "Вуз зож"'!S65)</f>
        <v>#REF!</v>
      </c>
      <c r="DB65" s="336" t="e">
        <f>SUM(CQ65:CS65,CU65,'Реестр ППС'!#REF!,' "Вуз зож"'!T65)</f>
        <v>#REF!</v>
      </c>
      <c r="DC65" s="332" t="e">
        <f t="shared" si="37"/>
        <v>#REF!</v>
      </c>
      <c r="DD65" s="961"/>
      <c r="DE65" s="337" t="e">
        <f t="shared" si="97"/>
        <v>#DIV/0!</v>
      </c>
      <c r="DF65" s="337" t="e">
        <f t="shared" si="44"/>
        <v>#DIV/0!</v>
      </c>
      <c r="DG65" s="337" t="e">
        <f t="shared" si="45"/>
        <v>#DIV/0!</v>
      </c>
      <c r="DH65" s="337" t="e">
        <f t="shared" si="46"/>
        <v>#DIV/0!</v>
      </c>
      <c r="DI65" s="337" t="e">
        <f t="shared" si="47"/>
        <v>#DIV/0!</v>
      </c>
      <c r="DJ65" s="337" t="e">
        <f t="shared" si="48"/>
        <v>#DIV/0!</v>
      </c>
      <c r="DK65" s="337" t="e">
        <f t="shared" si="49"/>
        <v>#DIV/0!</v>
      </c>
      <c r="DL65" s="334" t="str">
        <f t="shared" si="95"/>
        <v>Химии</v>
      </c>
      <c r="DM65" s="215" t="str">
        <f t="shared" si="94"/>
        <v>ФАРМ</v>
      </c>
      <c r="DN65" s="1505" t="e">
        <f t="shared" si="38"/>
        <v>#REF!</v>
      </c>
      <c r="DO65" s="338"/>
      <c r="DP65" s="338"/>
      <c r="DQ65" s="338"/>
      <c r="DR65" s="318"/>
      <c r="DS65" s="318"/>
      <c r="DT65" s="318"/>
      <c r="DU65" s="318"/>
      <c r="DV65" s="318"/>
      <c r="DW65" s="318"/>
      <c r="DX65" s="318"/>
    </row>
    <row r="66" spans="1:128" s="215" customFormat="1" ht="15.75" thickBot="1" x14ac:dyDescent="0.25">
      <c r="A66" s="550" t="s">
        <v>391</v>
      </c>
      <c r="B66" s="340" t="s">
        <v>7</v>
      </c>
      <c r="C66" s="482">
        <f>Кадры!C66</f>
        <v>0</v>
      </c>
      <c r="D66" s="989" t="str">
        <f t="shared" si="19"/>
        <v>ФАРМ</v>
      </c>
      <c r="E66" s="341" t="s">
        <v>16</v>
      </c>
      <c r="F66" s="341" t="s">
        <v>31</v>
      </c>
      <c r="G66" s="909"/>
      <c r="H66" s="817">
        <f t="shared" si="90"/>
        <v>100</v>
      </c>
      <c r="I66" s="1748"/>
      <c r="J66" s="860">
        <f t="shared" si="91"/>
        <v>100</v>
      </c>
      <c r="K66" s="920">
        <f>МероприятияВуза!$AR66+МероприятияВуза!$AQ66</f>
        <v>0</v>
      </c>
      <c r="L66" s="919">
        <f>МероприятияВуза!$G66+МероприятияВуза!$H66</f>
        <v>0</v>
      </c>
      <c r="M66" s="925" t="str">
        <f t="shared" si="20"/>
        <v>нет</v>
      </c>
      <c r="N66" s="923">
        <f>МероприятияВуза!$AS66</f>
        <v>0</v>
      </c>
      <c r="O66" s="919">
        <f>МероприятияВуза!$I66+МероприятияВуза!$J66</f>
        <v>0</v>
      </c>
      <c r="P66" s="925" t="str">
        <f t="shared" si="21"/>
        <v>нет</v>
      </c>
      <c r="Q66" s="1844"/>
      <c r="R66" s="817">
        <f t="shared" si="22"/>
        <v>100</v>
      </c>
      <c r="S66" s="1847"/>
      <c r="T66" s="1848"/>
      <c r="U66" s="844" t="str">
        <f t="shared" si="23"/>
        <v>нет</v>
      </c>
      <c r="V66" s="904"/>
      <c r="W66" s="909"/>
      <c r="X66" s="844" t="str">
        <f t="shared" si="7"/>
        <v>нет</v>
      </c>
      <c r="Y66" s="1857"/>
      <c r="Z66" s="1858"/>
      <c r="AA66" s="844" t="str">
        <f t="shared" si="8"/>
        <v>нет</v>
      </c>
      <c r="AB66" s="1748"/>
      <c r="AC66" s="909"/>
      <c r="AD66" s="912" t="str">
        <f t="shared" si="24"/>
        <v>нет</v>
      </c>
      <c r="AE66" s="947"/>
      <c r="AF66" s="949"/>
      <c r="AG66" s="844" t="str">
        <f t="shared" si="9"/>
        <v>нет</v>
      </c>
      <c r="AH66" s="951"/>
      <c r="AI66" s="949"/>
      <c r="AJ66" s="844" t="str">
        <f t="shared" si="25"/>
        <v>нет</v>
      </c>
      <c r="AK66" s="935">
        <f>ПрофРабота!$Q66</f>
        <v>0</v>
      </c>
      <c r="AL66" s="485">
        <f>ПрофРабота!$R66</f>
        <v>0</v>
      </c>
      <c r="AM66" s="485">
        <f>ПрофРабота!$S66</f>
        <v>0</v>
      </c>
      <c r="AN66" s="817">
        <f>ПрофРабота!$C66</f>
        <v>0</v>
      </c>
      <c r="AO66" s="923">
        <f>МероприятияВуза!$AT66</f>
        <v>0</v>
      </c>
      <c r="AP66" s="919">
        <f>МероприятияВуза!$K66</f>
        <v>0</v>
      </c>
      <c r="AQ66" s="817" t="str">
        <f t="shared" si="26"/>
        <v>нет</v>
      </c>
      <c r="AR66" s="938">
        <f>'ДПО(Финансы)'!$R66</f>
        <v>0</v>
      </c>
      <c r="AS66" s="939">
        <f>'ДПО(Финансы)'!$D66</f>
        <v>20000</v>
      </c>
      <c r="AT66" s="510">
        <f t="shared" si="27"/>
        <v>0</v>
      </c>
      <c r="AU66" s="1519">
        <f t="shared" si="28"/>
        <v>0</v>
      </c>
      <c r="AV66" s="938">
        <f>'ДПО(Финансы)'!$R66</f>
        <v>0</v>
      </c>
      <c r="AW66" s="939">
        <f>'ИДО(Финансы)'!$R66</f>
        <v>0</v>
      </c>
      <c r="AX66" s="939">
        <f>'ДПО(Финансы)'!$S66</f>
        <v>0</v>
      </c>
      <c r="AY66" s="939">
        <f>'ИДО(Финансы)'!$S66</f>
        <v>0</v>
      </c>
      <c r="AZ66" s="839" t="e">
        <f t="shared" si="92"/>
        <v>#DIV/0!</v>
      </c>
      <c r="BA66" s="1520" t="str">
        <f t="array" ref="BA66">IF(($E66="да"),IF($AX66=0,"нет",$AV66/$AX66*100-100),"нет")</f>
        <v>нет</v>
      </c>
      <c r="BB66" s="1521" t="str">
        <f t="array" ref="BB66">IF(($E66="да"),IF($AX66=0,"нет",$AV66/$AX66*100),"нет")</f>
        <v>нет</v>
      </c>
      <c r="BC66" s="1522">
        <f t="shared" si="93"/>
        <v>0</v>
      </c>
      <c r="BD66" s="1522" t="e">
        <f t="array" ref="BD66">IF(($E66="да"),IF($AZ66&gt;$AZ$17,$AZ66/$AZ$16*BD$16,нет),нет)</f>
        <v>#DIV/0!</v>
      </c>
      <c r="BE66" s="938">
        <f>'ИДО(Финансы)'!$R66</f>
        <v>0</v>
      </c>
      <c r="BF66" s="939">
        <f>'ИДО(Финансы)'!D66</f>
        <v>0</v>
      </c>
      <c r="BG66" s="510" t="str">
        <f t="shared" si="29"/>
        <v>нет</v>
      </c>
      <c r="BH66" s="1519" t="str">
        <f t="shared" si="30"/>
        <v>нет</v>
      </c>
      <c r="BI66" s="1523">
        <f t="array" ref="BI66">IF(($E66="да")+($F66="да"),IF((BF66+AS66)=0,"нет",(AR66+BE66)/(BF66+AS66)*100),"нет")</f>
        <v>0</v>
      </c>
      <c r="BJ66" s="829">
        <f>Кадры!$I66</f>
        <v>0</v>
      </c>
      <c r="BK66" s="940">
        <f>Кадры!$O66</f>
        <v>0</v>
      </c>
      <c r="BL66" s="941">
        <f>Кадры!$K66</f>
        <v>0</v>
      </c>
      <c r="BM66" s="821" t="str">
        <f t="array" ref="BM66">IF(BL66=0,"нет",BK66/BL66*100)</f>
        <v>нет</v>
      </c>
      <c r="BN66" s="923">
        <f>Кадры!E66</f>
        <v>0</v>
      </c>
      <c r="BO66" s="941">
        <f>Кадры!$K66</f>
        <v>0</v>
      </c>
      <c r="BP66" s="343" t="str">
        <f t="shared" si="31"/>
        <v>нет</v>
      </c>
      <c r="BQ66" s="342" t="e">
        <f t="shared" si="32"/>
        <v>#DIV/0!</v>
      </c>
      <c r="BR66" s="940">
        <f>Кадры!$L66</f>
        <v>0</v>
      </c>
      <c r="BS66" s="1544">
        <f>Кадры!$J66</f>
        <v>0</v>
      </c>
      <c r="BT66" s="343">
        <f t="shared" si="33"/>
        <v>0</v>
      </c>
      <c r="BU66" s="817">
        <f t="shared" si="34"/>
        <v>100</v>
      </c>
      <c r="BV66" s="923">
        <f>Кадры!$D66</f>
        <v>0</v>
      </c>
      <c r="BW66" s="919">
        <f>Кадры!$F66</f>
        <v>0</v>
      </c>
      <c r="BX66" s="817" t="e">
        <f t="shared" si="35"/>
        <v>#DIV/0!</v>
      </c>
      <c r="BY66" s="940">
        <f>Кадры!$P66</f>
        <v>0</v>
      </c>
      <c r="BZ66" s="941">
        <f>Кадры!$L66</f>
        <v>0</v>
      </c>
      <c r="CA66" s="342" t="str">
        <f t="shared" si="36"/>
        <v>нет</v>
      </c>
      <c r="CC66" s="989" t="s">
        <v>114</v>
      </c>
      <c r="CD66" s="268"/>
      <c r="CE66" s="961"/>
      <c r="CG66" s="335" t="e">
        <f t="array" ref="CG66">SUM(IF($F66:$CA66=нет,0,IF($F66:$CA66&gt;=$F$16:$CA$16,$F$16:$CA$16,IF($F66:$CA66&lt;$F$17:$CA$17,0,$F66:$CA66)))*$F$11:$CA$11*($F$104:$CA$104=CG$4)/$F$16:$CA$16*($F$106:$CA$115*($B$106:$B$115=$B66)*($A$106:$A$115=$A$104)))</f>
        <v>#DIV/0!</v>
      </c>
      <c r="CH66" s="335" t="e">
        <f t="array" ref="CH66">SUM(IF($F66:$CA66=нет,0,IF($F66:$CA66&gt;=$F$16:$CA$16,$F$16:$CA$16,IF($F66:$CA66&lt;$F$17:$CA$17,0,$F66:$CA66)))*$F$11:$CA$11*($F$104:$CA$104=CH$4)/$F$16:$CA$16*($F$106:$CA$115*($B$106:$B$115=$B66)*($A$106:$A$115=$A$104)))</f>
        <v>#DIV/0!</v>
      </c>
      <c r="CI66" s="335" t="e">
        <f t="array" ref="CI66">SUM(IF($F66:$CA66=нет,0,IF($F66:$CA66&gt;=$F$16:$CA$16,$F$16:$CA$16,IF($F66:$CA66&lt;$F$17:$CA$17,0,$F66:$CA66)))*$F$11:$CA$11*($F$105:$CA$105=CI$4)/$F$16:$CA$16*($F$106:$CA$115*($B$106:$B$115=$B66)*($A$106:$A$115=$A$104)))</f>
        <v>#DIV/0!</v>
      </c>
      <c r="CJ66" s="1072" t="e">
        <f>'НУ(ВИД3)'!D67</f>
        <v>#DIV/0!</v>
      </c>
      <c r="CK66" s="335" t="e">
        <f t="array" ref="CK66">SUM(IF($F66:$CA66=нет,0,IF($F66:$CA66&gt;=$F$16:$CA$16,$F$16:$CA$16,IF($F66:$CA66&lt;$F$17:$CA$17,0,$F66:$CA66)))*$F$11:$CA$11*($F$104:$CA$104=CK$4)/$F$16:$CA$16*($F$106:$CA$115*($B$106:$B$115=$B66)*($A$106:$A$115=$A$104)))</f>
        <v>#DIV/0!</v>
      </c>
      <c r="CL66" s="335" t="e">
        <f t="array" ref="CL66">SUM(IF($F66:$CA66=нет,0,IF($F66:$CA66&gt;=$F$16:$CA$16,$F$16:$CA$16,IF($F66:$CA66&lt;$F$17:$CA$17,0,$F66:$CA66)))*$F$11:$CA$11*($F$104:$CA$104=CL$4)/$F$16:$CA$16*($F$106:$CA$115*($B$106:$B$115=$B66)*($A$106:$A$115=$A$104)))</f>
        <v>#DIV/0!</v>
      </c>
      <c r="CM66" s="335" t="e">
        <f t="array" ref="CM66">SUM(IF($F66:$CA66=нет,0,IF($F66:$CA66&gt;=$F$16:$CA$16,$F$16:$CA$16,IF($F66:$CA66&lt;$F$17:$CA$17,0,$F66:$CA66)))*$F$11:$CA$11*($F$104:$CA$104=CM$4)/$F$16:$CA$16*($F$106:$CA$115*($B$106:$B$115=$B66)*($A$106:$A$115=$A$104)))</f>
        <v>#DIV/0!</v>
      </c>
      <c r="CO66" s="1000" t="e">
        <f t="array" ref="CO66">SUM(IF($F66:$CA66=нет,0,100)*$F$11:$CA$11*($F$104:$CA$104=CO$4)/100*($F$106:$CA$115*($B$106:$B$115=$B66)*($A$106:$A$115=$A$104)))</f>
        <v>#DIV/0!</v>
      </c>
      <c r="CP66" s="1000" t="e">
        <f t="array" ref="CP66">SUM(IF($F66:$CA66=нет,0,100)*$F$11:$CA$11*($F$104:$CA$104=CP$4)/100*($F$106:$CA$115*($B$106:$B$115=$B66)*($A$106:$A$115=$A$104)))</f>
        <v>#DIV/0!</v>
      </c>
      <c r="CQ66" s="1000" t="e">
        <f t="array" ref="CQ66">SUM(IF($F66:$CA66=нет,0,100)*$F$11:$CA$11*($F$105:$CA$105=CQ$4)/100*($F$106:$CA$115*($B$106:$B$115=$B66)*($A$106:$A$115=$A$104)))</f>
        <v>#DIV/0!</v>
      </c>
      <c r="CR66" s="1057">
        <f>'НУ(ВИД3)'!E67</f>
        <v>21</v>
      </c>
      <c r="CS66" s="1000" t="e">
        <f t="array" ref="CS66">SUM(IF($F66:$CA66=нет,0,100)*$F$11:$CA$11*($F$104:$CA$104=CS$4)/100*($F$106:$CA$115*($B$106:$B$115=$B66)*($A$106:$A$115=$A$104)))</f>
        <v>#DIV/0!</v>
      </c>
      <c r="CT66" s="1000" t="e">
        <f t="array" ref="CT66">SUM(IF($F66:$CA66=нет,0,100)*$F$11:$CA$11*($F$104:$CA$104=CT$4)/100*($F$106:$CA$115*($B$106:$B$115=$B66)*($A$106:$A$115=$A$104)))</f>
        <v>#DIV/0!</v>
      </c>
      <c r="CU66" s="1000" t="e">
        <f t="array" ref="CU66">SUM(IF($F66:$CA66=нет,0,100)*$F$11:$CA$11*($F$104:$CA$104=CU$4)/100*($F$106:$CA$115*($B$106:$B$115=$B66)*($A$106:$A$115=$A$104)))</f>
        <v>#DIV/0!</v>
      </c>
      <c r="CW66" s="333" t="e">
        <f>SUM(CG66:CH66,CJ66:CM66,'Реестр ППС'!#REF!,' "Вуз зож"'!S66)</f>
        <v>#REF!</v>
      </c>
      <c r="CX66" s="333" t="e">
        <f>SUM(CO66:CP66,CR66:CU66,'Реестр ППС'!#REF!,' "Вуз зож"'!T66)</f>
        <v>#REF!</v>
      </c>
      <c r="CY66" s="332" t="e">
        <f t="shared" si="96"/>
        <v>#REF!</v>
      </c>
      <c r="DA66" s="336" t="e">
        <f>SUM(CI66:CK66,CM66,'Реестр ППС'!#REF!,' "Вуз зож"'!S66)</f>
        <v>#REF!</v>
      </c>
      <c r="DB66" s="336" t="e">
        <f>SUM(CQ66:CS66,CU66,'Реестр ППС'!#REF!,' "Вуз зож"'!T66)</f>
        <v>#REF!</v>
      </c>
      <c r="DC66" s="332" t="e">
        <f t="shared" si="37"/>
        <v>#REF!</v>
      </c>
      <c r="DD66" s="961"/>
      <c r="DE66" s="337" t="e">
        <f t="shared" si="97"/>
        <v>#DIV/0!</v>
      </c>
      <c r="DF66" s="337" t="e">
        <f t="shared" si="44"/>
        <v>#DIV/0!</v>
      </c>
      <c r="DG66" s="337" t="e">
        <f t="shared" si="45"/>
        <v>#DIV/0!</v>
      </c>
      <c r="DH66" s="337" t="e">
        <f t="shared" si="46"/>
        <v>#DIV/0!</v>
      </c>
      <c r="DI66" s="337" t="e">
        <f t="shared" si="47"/>
        <v>#DIV/0!</v>
      </c>
      <c r="DJ66" s="337" t="e">
        <f t="shared" si="48"/>
        <v>#DIV/0!</v>
      </c>
      <c r="DK66" s="337" t="e">
        <f t="shared" si="49"/>
        <v>#DIV/0!</v>
      </c>
      <c r="DL66" s="334" t="str">
        <f t="shared" si="95"/>
        <v>Фармакологии имени профессора В.М. Брюханова</v>
      </c>
      <c r="DM66" s="215" t="str">
        <f t="shared" si="94"/>
        <v>ФАРМ</v>
      </c>
      <c r="DN66" s="1505" t="e">
        <f t="shared" si="38"/>
        <v>#REF!</v>
      </c>
      <c r="DO66" s="338"/>
      <c r="DP66" s="338"/>
      <c r="DQ66" s="338"/>
      <c r="DR66" s="318"/>
      <c r="DS66" s="318"/>
      <c r="DT66" s="318"/>
      <c r="DU66" s="318"/>
      <c r="DV66" s="318"/>
      <c r="DW66" s="318"/>
      <c r="DX66" s="318"/>
    </row>
    <row r="67" spans="1:128" s="215" customFormat="1" ht="15.75" thickBot="1" x14ac:dyDescent="0.25">
      <c r="A67" s="550" t="s">
        <v>113</v>
      </c>
      <c r="B67" s="340" t="s">
        <v>7</v>
      </c>
      <c r="C67" s="482">
        <f>Кадры!C67</f>
        <v>0</v>
      </c>
      <c r="D67" s="989" t="str">
        <f t="shared" si="19"/>
        <v>ФАРМ</v>
      </c>
      <c r="E67" s="341" t="s">
        <v>16</v>
      </c>
      <c r="F67" s="341" t="s">
        <v>31</v>
      </c>
      <c r="G67" s="909"/>
      <c r="H67" s="817">
        <f t="shared" si="90"/>
        <v>100</v>
      </c>
      <c r="I67" s="1748"/>
      <c r="J67" s="860">
        <f t="shared" si="91"/>
        <v>100</v>
      </c>
      <c r="K67" s="920">
        <f>МероприятияВуза!$AR67+МероприятияВуза!$AQ67</f>
        <v>0</v>
      </c>
      <c r="L67" s="919">
        <f>МероприятияВуза!$G67+МероприятияВуза!$H67</f>
        <v>0</v>
      </c>
      <c r="M67" s="925" t="str">
        <f t="shared" si="20"/>
        <v>нет</v>
      </c>
      <c r="N67" s="923">
        <f>МероприятияВуза!$AS67</f>
        <v>0</v>
      </c>
      <c r="O67" s="919">
        <f>МероприятияВуза!$I67+МероприятияВуза!$J67</f>
        <v>0</v>
      </c>
      <c r="P67" s="925" t="str">
        <f t="shared" si="21"/>
        <v>нет</v>
      </c>
      <c r="Q67" s="1844"/>
      <c r="R67" s="817">
        <f t="shared" si="22"/>
        <v>100</v>
      </c>
      <c r="S67" s="1847"/>
      <c r="T67" s="1848"/>
      <c r="U67" s="844" t="str">
        <f t="shared" si="23"/>
        <v>нет</v>
      </c>
      <c r="V67" s="904"/>
      <c r="W67" s="909"/>
      <c r="X67" s="844" t="str">
        <f t="shared" si="7"/>
        <v>нет</v>
      </c>
      <c r="Y67" s="1857"/>
      <c r="Z67" s="1858"/>
      <c r="AA67" s="844" t="str">
        <f t="shared" si="8"/>
        <v>нет</v>
      </c>
      <c r="AB67" s="1748"/>
      <c r="AC67" s="909"/>
      <c r="AD67" s="912" t="str">
        <f t="shared" si="24"/>
        <v>нет</v>
      </c>
      <c r="AE67" s="947"/>
      <c r="AF67" s="949"/>
      <c r="AG67" s="844" t="str">
        <f t="shared" si="9"/>
        <v>нет</v>
      </c>
      <c r="AH67" s="951"/>
      <c r="AI67" s="949"/>
      <c r="AJ67" s="844" t="str">
        <f t="shared" si="25"/>
        <v>нет</v>
      </c>
      <c r="AK67" s="935">
        <f>ПрофРабота!$Q67</f>
        <v>0</v>
      </c>
      <c r="AL67" s="485">
        <f>ПрофРабота!$R67</f>
        <v>0</v>
      </c>
      <c r="AM67" s="485">
        <f>ПрофРабота!$S67</f>
        <v>0</v>
      </c>
      <c r="AN67" s="817">
        <f>ПрофРабота!$C67</f>
        <v>0</v>
      </c>
      <c r="AO67" s="923">
        <f>МероприятияВуза!$AT67</f>
        <v>0</v>
      </c>
      <c r="AP67" s="919">
        <f>МероприятияВуза!$K67</f>
        <v>0</v>
      </c>
      <c r="AQ67" s="817" t="str">
        <f t="shared" si="26"/>
        <v>нет</v>
      </c>
      <c r="AR67" s="938">
        <f>'ДПО(Финансы)'!$R67</f>
        <v>46963</v>
      </c>
      <c r="AS67" s="939">
        <f>'ДПО(Финансы)'!$D67</f>
        <v>20000</v>
      </c>
      <c r="AT67" s="510" t="e">
        <f t="shared" si="27"/>
        <v>#DIV/0!</v>
      </c>
      <c r="AU67" s="1519">
        <f t="shared" si="28"/>
        <v>234.815</v>
      </c>
      <c r="AV67" s="938">
        <f>'ДПО(Финансы)'!$R67</f>
        <v>46963</v>
      </c>
      <c r="AW67" s="939">
        <f>'ИДО(Финансы)'!$R67</f>
        <v>0</v>
      </c>
      <c r="AX67" s="939">
        <f>'ДПО(Финансы)'!$S67</f>
        <v>29500</v>
      </c>
      <c r="AY67" s="939">
        <f>'ИДО(Финансы)'!$S67</f>
        <v>0</v>
      </c>
      <c r="AZ67" s="839" t="e">
        <f t="shared" si="92"/>
        <v>#DIV/0!</v>
      </c>
      <c r="BA67" s="1520">
        <f t="array" ref="BA67">IF(($E67="да"),IF($AX67=0,"нет",$AV67/$AX67*100-100),"нет")</f>
        <v>59.196610169491521</v>
      </c>
      <c r="BB67" s="1521">
        <f t="array" ref="BB67">IF(($E67="да"),IF($AX67=0,"нет",$AV67/$AX67*100),"нет")</f>
        <v>159.19661016949152</v>
      </c>
      <c r="BC67" s="1522">
        <f t="shared" si="93"/>
        <v>234.815</v>
      </c>
      <c r="BD67" s="1522" t="e">
        <f t="array" ref="BD67">IF(($E67="да"),IF($AZ67&gt;$AZ$17,$AZ67/$AZ$16*BD$16,нет),нет)</f>
        <v>#DIV/0!</v>
      </c>
      <c r="BE67" s="938">
        <f>'ИДО(Финансы)'!$R67</f>
        <v>0</v>
      </c>
      <c r="BF67" s="939">
        <f>'ИДО(Финансы)'!D67</f>
        <v>0</v>
      </c>
      <c r="BG67" s="510" t="str">
        <f t="shared" si="29"/>
        <v>нет</v>
      </c>
      <c r="BH67" s="1519" t="str">
        <f t="shared" si="30"/>
        <v>нет</v>
      </c>
      <c r="BI67" s="1523">
        <f t="array" ref="BI67">IF(($E67="да")+($F67="да"),IF((BF67+AS67)=0,"нет",(AR67+BE67)/(BF67+AS67)*100),"нет")</f>
        <v>234.815</v>
      </c>
      <c r="BJ67" s="829">
        <f>Кадры!$I67</f>
        <v>0</v>
      </c>
      <c r="BK67" s="940">
        <f>Кадры!$O67</f>
        <v>0</v>
      </c>
      <c r="BL67" s="941">
        <f>Кадры!$K67</f>
        <v>0</v>
      </c>
      <c r="BM67" s="821" t="str">
        <f t="array" ref="BM67">IF(BL67=0,"нет",BK67/BL67*100)</f>
        <v>нет</v>
      </c>
      <c r="BN67" s="923">
        <f>Кадры!E67</f>
        <v>0</v>
      </c>
      <c r="BO67" s="941">
        <f>Кадры!$K67</f>
        <v>0</v>
      </c>
      <c r="BP67" s="343" t="str">
        <f t="shared" si="31"/>
        <v>нет</v>
      </c>
      <c r="BQ67" s="342" t="e">
        <f t="shared" si="32"/>
        <v>#DIV/0!</v>
      </c>
      <c r="BR67" s="940">
        <f>Кадры!$L67</f>
        <v>0</v>
      </c>
      <c r="BS67" s="1544">
        <f>Кадры!$J67</f>
        <v>0</v>
      </c>
      <c r="BT67" s="343">
        <f t="shared" si="33"/>
        <v>0</v>
      </c>
      <c r="BU67" s="817">
        <f t="shared" si="34"/>
        <v>100</v>
      </c>
      <c r="BV67" s="923">
        <f>Кадры!$D67</f>
        <v>0</v>
      </c>
      <c r="BW67" s="919">
        <f>Кадры!$F67</f>
        <v>0</v>
      </c>
      <c r="BX67" s="817" t="e">
        <f t="shared" si="35"/>
        <v>#DIV/0!</v>
      </c>
      <c r="BY67" s="940">
        <f>Кадры!$P67</f>
        <v>0</v>
      </c>
      <c r="BZ67" s="941">
        <f>Кадры!$L67</f>
        <v>0</v>
      </c>
      <c r="CA67" s="342" t="str">
        <f t="shared" si="36"/>
        <v>нет</v>
      </c>
      <c r="CC67" s="989" t="s">
        <v>114</v>
      </c>
      <c r="CD67" s="268"/>
      <c r="CE67" s="961"/>
      <c r="CG67" s="335" t="e">
        <f t="array" ref="CG67">SUM(IF($F67:$CA67=нет,0,IF($F67:$CA67&gt;=$F$16:$CA$16,$F$16:$CA$16,IF($F67:$CA67&lt;$F$17:$CA$17,0,$F67:$CA67)))*$F$11:$CA$11*($F$104:$CA$104=CG$4)/$F$16:$CA$16*($F$106:$CA$115*($B$106:$B$115=$B67)*($A$106:$A$115=$A$104)))</f>
        <v>#DIV/0!</v>
      </c>
      <c r="CH67" s="335" t="e">
        <f t="array" ref="CH67">SUM(IF($F67:$CA67=нет,0,IF($F67:$CA67&gt;=$F$16:$CA$16,$F$16:$CA$16,IF($F67:$CA67&lt;$F$17:$CA$17,0,$F67:$CA67)))*$F$11:$CA$11*($F$104:$CA$104=CH$4)/$F$16:$CA$16*($F$106:$CA$115*($B$106:$B$115=$B67)*($A$106:$A$115=$A$104)))</f>
        <v>#DIV/0!</v>
      </c>
      <c r="CI67" s="335" t="e">
        <f t="array" ref="CI67">SUM(IF($F67:$CA67=нет,0,IF($F67:$CA67&gt;=$F$16:$CA$16,$F$16:$CA$16,IF($F67:$CA67&lt;$F$17:$CA$17,0,$F67:$CA67)))*$F$11:$CA$11*($F$105:$CA$105=CI$4)/$F$16:$CA$16*($F$106:$CA$115*($B$106:$B$115=$B67)*($A$106:$A$115=$A$104)))</f>
        <v>#DIV/0!</v>
      </c>
      <c r="CJ67" s="1072" t="e">
        <f>'НУ(ВИД3)'!D68</f>
        <v>#DIV/0!</v>
      </c>
      <c r="CK67" s="335" t="e">
        <f t="array" ref="CK67">SUM(IF($F67:$CA67=нет,0,IF($F67:$CA67&gt;=$F$16:$CA$16,$F$16:$CA$16,IF($F67:$CA67&lt;$F$17:$CA$17,0,$F67:$CA67)))*$F$11:$CA$11*($F$104:$CA$104=CK$4)/$F$16:$CA$16*($F$106:$CA$115*($B$106:$B$115=$B67)*($A$106:$A$115=$A$104)))</f>
        <v>#DIV/0!</v>
      </c>
      <c r="CL67" s="335" t="e">
        <f t="array" ref="CL67">SUM(IF($F67:$CA67=нет,0,IF($F67:$CA67&gt;=$F$16:$CA$16,$F$16:$CA$16,IF($F67:$CA67&lt;$F$17:$CA$17,0,$F67:$CA67)))*$F$11:$CA$11*($F$104:$CA$104=CL$4)/$F$16:$CA$16*($F$106:$CA$115*($B$106:$B$115=$B67)*($A$106:$A$115=$A$104)))</f>
        <v>#DIV/0!</v>
      </c>
      <c r="CM67" s="335" t="e">
        <f t="array" ref="CM67">SUM(IF($F67:$CA67=нет,0,IF($F67:$CA67&gt;=$F$16:$CA$16,$F$16:$CA$16,IF($F67:$CA67&lt;$F$17:$CA$17,0,$F67:$CA67)))*$F$11:$CA$11*($F$104:$CA$104=CM$4)/$F$16:$CA$16*($F$106:$CA$115*($B$106:$B$115=$B67)*($A$106:$A$115=$A$104)))</f>
        <v>#DIV/0!</v>
      </c>
      <c r="CO67" s="1000" t="e">
        <f t="array" ref="CO67">SUM(IF($F67:$CA67=нет,0,100)*$F$11:$CA$11*($F$104:$CA$104=CO$4)/100*($F$106:$CA$115*($B$106:$B$115=$B67)*($A$106:$A$115=$A$104)))</f>
        <v>#DIV/0!</v>
      </c>
      <c r="CP67" s="1000" t="e">
        <f t="array" ref="CP67">SUM(IF($F67:$CA67=нет,0,100)*$F$11:$CA$11*($F$104:$CA$104=CP$4)/100*($F$106:$CA$115*($B$106:$B$115=$B67)*($A$106:$A$115=$A$104)))</f>
        <v>#DIV/0!</v>
      </c>
      <c r="CQ67" s="1000" t="e">
        <f t="array" ref="CQ67">SUM(IF($F67:$CA67=нет,0,100)*$F$11:$CA$11*($F$105:$CA$105=CQ$4)/100*($F$106:$CA$115*($B$106:$B$115=$B67)*($A$106:$A$115=$A$104)))</f>
        <v>#DIV/0!</v>
      </c>
      <c r="CR67" s="1057">
        <f>'НУ(ВИД3)'!E68</f>
        <v>21</v>
      </c>
      <c r="CS67" s="1000" t="e">
        <f t="array" ref="CS67">SUM(IF($F67:$CA67=нет,0,100)*$F$11:$CA$11*($F$104:$CA$104=CS$4)/100*($F$106:$CA$115*($B$106:$B$115=$B67)*($A$106:$A$115=$A$104)))</f>
        <v>#DIV/0!</v>
      </c>
      <c r="CT67" s="1000" t="e">
        <f t="array" ref="CT67">SUM(IF($F67:$CA67=нет,0,100)*$F$11:$CA$11*($F$104:$CA$104=CT$4)/100*($F$106:$CA$115*($B$106:$B$115=$B67)*($A$106:$A$115=$A$104)))</f>
        <v>#DIV/0!</v>
      </c>
      <c r="CU67" s="1000" t="e">
        <f t="array" ref="CU67">SUM(IF($F67:$CA67=нет,0,100)*$F$11:$CA$11*($F$104:$CA$104=CU$4)/100*($F$106:$CA$115*($B$106:$B$115=$B67)*($A$106:$A$115=$A$104)))</f>
        <v>#DIV/0!</v>
      </c>
      <c r="CW67" s="333" t="e">
        <f>SUM(CG67:CH67,CJ67:CM67,'Реестр ППС'!#REF!,' "Вуз зож"'!S67)</f>
        <v>#REF!</v>
      </c>
      <c r="CX67" s="333" t="e">
        <f>SUM(CO67:CP67,CR67:CU67,'Реестр ППС'!#REF!,' "Вуз зож"'!T67)</f>
        <v>#REF!</v>
      </c>
      <c r="CY67" s="332" t="e">
        <f t="shared" si="96"/>
        <v>#REF!</v>
      </c>
      <c r="DA67" s="336" t="e">
        <f>SUM(CI67:CK67,CM67,'Реестр ППС'!#REF!,' "Вуз зож"'!S67)</f>
        <v>#REF!</v>
      </c>
      <c r="DB67" s="336" t="e">
        <f>SUM(CQ67:CS67,CU67,'Реестр ППС'!#REF!,' "Вуз зож"'!T67)</f>
        <v>#REF!</v>
      </c>
      <c r="DC67" s="332" t="e">
        <f t="shared" si="37"/>
        <v>#REF!</v>
      </c>
      <c r="DD67" s="961"/>
      <c r="DE67" s="337" t="e">
        <f t="shared" si="97"/>
        <v>#DIV/0!</v>
      </c>
      <c r="DF67" s="337" t="e">
        <f t="shared" si="44"/>
        <v>#DIV/0!</v>
      </c>
      <c r="DG67" s="337" t="e">
        <f t="shared" si="45"/>
        <v>#DIV/0!</v>
      </c>
      <c r="DH67" s="337" t="e">
        <f t="shared" si="46"/>
        <v>#DIV/0!</v>
      </c>
      <c r="DI67" s="337" t="e">
        <f t="shared" si="47"/>
        <v>#DIV/0!</v>
      </c>
      <c r="DJ67" s="337" t="e">
        <f t="shared" si="48"/>
        <v>#DIV/0!</v>
      </c>
      <c r="DK67" s="337" t="e">
        <f t="shared" si="49"/>
        <v>#DIV/0!</v>
      </c>
      <c r="DL67" s="334" t="str">
        <f t="shared" si="95"/>
        <v>Фармации</v>
      </c>
      <c r="DM67" s="215" t="str">
        <f t="shared" si="94"/>
        <v>ФАРМ</v>
      </c>
      <c r="DN67" s="1505" t="e">
        <f t="shared" si="38"/>
        <v>#REF!</v>
      </c>
      <c r="DO67" s="338"/>
      <c r="DP67" s="338"/>
      <c r="DQ67" s="338"/>
      <c r="DR67" s="318"/>
      <c r="DS67" s="318"/>
      <c r="DT67" s="318"/>
      <c r="DU67" s="318"/>
      <c r="DV67" s="318"/>
      <c r="DW67" s="318"/>
      <c r="DX67" s="318"/>
    </row>
    <row r="68" spans="1:128" s="215" customFormat="1" ht="15.75" thickBot="1" x14ac:dyDescent="0.25">
      <c r="A68" s="1001" t="s">
        <v>104</v>
      </c>
      <c r="B68" s="974" t="s">
        <v>7</v>
      </c>
      <c r="C68" s="1002">
        <f>Кадры!C68</f>
        <v>0</v>
      </c>
      <c r="D68" s="1063" t="str">
        <f t="shared" si="19"/>
        <v>ФАРМ</v>
      </c>
      <c r="E68" s="1004" t="s">
        <v>16</v>
      </c>
      <c r="F68" s="1004" t="s">
        <v>31</v>
      </c>
      <c r="G68" s="1005"/>
      <c r="H68" s="1752">
        <f t="shared" si="90"/>
        <v>100</v>
      </c>
      <c r="I68" s="1749"/>
      <c r="J68" s="1007">
        <f t="shared" si="91"/>
        <v>100</v>
      </c>
      <c r="K68" s="1008">
        <f>МероприятияВуза!$AR68+МероприятияВуза!$AQ68</f>
        <v>0</v>
      </c>
      <c r="L68" s="1009">
        <f>МероприятияВуза!$G68+МероприятияВуза!$H68</f>
        <v>0</v>
      </c>
      <c r="M68" s="1010" t="str">
        <f t="shared" si="20"/>
        <v>нет</v>
      </c>
      <c r="N68" s="1011">
        <f>МероприятияВуза!$AS68</f>
        <v>0</v>
      </c>
      <c r="O68" s="1009">
        <f>МероприятияВуза!$I68+МероприятияВуза!$J68</f>
        <v>0</v>
      </c>
      <c r="P68" s="1010" t="str">
        <f t="shared" si="21"/>
        <v>нет</v>
      </c>
      <c r="Q68" s="1841"/>
      <c r="R68" s="817">
        <f t="shared" si="22"/>
        <v>100</v>
      </c>
      <c r="S68" s="1851"/>
      <c r="T68" s="1850"/>
      <c r="U68" s="1013" t="str">
        <f t="shared" si="23"/>
        <v>нет</v>
      </c>
      <c r="V68" s="1012"/>
      <c r="W68" s="1005"/>
      <c r="X68" s="1013" t="str">
        <f t="shared" si="7"/>
        <v>нет</v>
      </c>
      <c r="Y68" s="1861"/>
      <c r="Z68" s="1860"/>
      <c r="AA68" s="1750" t="str">
        <f t="shared" si="8"/>
        <v>нет</v>
      </c>
      <c r="AB68" s="1749"/>
      <c r="AC68" s="1005"/>
      <c r="AD68" s="1014" t="str">
        <f t="shared" si="24"/>
        <v>нет</v>
      </c>
      <c r="AE68" s="1015"/>
      <c r="AF68" s="1016"/>
      <c r="AG68" s="1013" t="str">
        <f t="shared" si="9"/>
        <v>нет</v>
      </c>
      <c r="AH68" s="1017"/>
      <c r="AI68" s="1016"/>
      <c r="AJ68" s="1013" t="str">
        <f t="shared" si="25"/>
        <v>нет</v>
      </c>
      <c r="AK68" s="1018">
        <f>ПрофРабота!$Q68</f>
        <v>0</v>
      </c>
      <c r="AL68" s="997">
        <f>ПрофРабота!$R68</f>
        <v>0</v>
      </c>
      <c r="AM68" s="997">
        <f>ПрофРабота!$S68</f>
        <v>0</v>
      </c>
      <c r="AN68" s="933">
        <f>ПрофРабота!$C68</f>
        <v>0</v>
      </c>
      <c r="AO68" s="1011">
        <f>МероприятияВуза!$AT68</f>
        <v>0</v>
      </c>
      <c r="AP68" s="1009">
        <f>МероприятияВуза!$K68</f>
        <v>0</v>
      </c>
      <c r="AQ68" s="933" t="str">
        <f t="shared" si="26"/>
        <v>нет</v>
      </c>
      <c r="AR68" s="1064">
        <f>'ДПО(Финансы)'!$R68</f>
        <v>800</v>
      </c>
      <c r="AS68" s="1020">
        <f>'ДПО(Финансы)'!$D68</f>
        <v>15000</v>
      </c>
      <c r="AT68" s="1021" t="e">
        <f t="shared" si="27"/>
        <v>#DIV/0!</v>
      </c>
      <c r="AU68" s="1524">
        <f t="shared" si="28"/>
        <v>5.3333333333333339</v>
      </c>
      <c r="AV68" s="1019">
        <f>'ДПО(Финансы)'!$R68</f>
        <v>800</v>
      </c>
      <c r="AW68" s="1020">
        <f>'ИДО(Финансы)'!$R68</f>
        <v>0</v>
      </c>
      <c r="AX68" s="1020">
        <f>'ДПО(Финансы)'!$S68</f>
        <v>3000</v>
      </c>
      <c r="AY68" s="1020">
        <f>'ИДО(Финансы)'!$S68</f>
        <v>0</v>
      </c>
      <c r="AZ68" s="1024" t="e">
        <f t="shared" si="92"/>
        <v>#DIV/0!</v>
      </c>
      <c r="BA68" s="1525">
        <f t="array" ref="BA68">IF(($E68="да"),IF($AX68=0,"нет",$AV68/$AX68*100-100),"нет")</f>
        <v>-73.333333333333329</v>
      </c>
      <c r="BB68" s="1526">
        <f t="array" ref="BB68">IF(($E68="да"),IF($AX68=0,"нет",$AV68/$AX68*100),"нет")</f>
        <v>26.666666666666668</v>
      </c>
      <c r="BC68" s="1527">
        <f t="shared" si="93"/>
        <v>5.3333333333333339</v>
      </c>
      <c r="BD68" s="1527" t="e">
        <f t="array" ref="BD68">IF(($E68="да"),IF($AZ68&gt;$AZ$17,$AZ68/$AZ$16*BD$16,нет),нет)</f>
        <v>#DIV/0!</v>
      </c>
      <c r="BE68" s="1064">
        <f>'ИДО(Финансы)'!$R68</f>
        <v>0</v>
      </c>
      <c r="BF68" s="1020">
        <f>'ИДО(Финансы)'!D68</f>
        <v>0</v>
      </c>
      <c r="BG68" s="1021" t="str">
        <f t="shared" si="29"/>
        <v>нет</v>
      </c>
      <c r="BH68" s="1524" t="str">
        <f t="shared" si="30"/>
        <v>нет</v>
      </c>
      <c r="BI68" s="1528">
        <f t="array" ref="BI68">IF(($E68="да")+($F68="да"),IF((BF68+AS68)=0,"нет",(AR68+BE68)/(BF68+AS68)*100),"нет")</f>
        <v>5.3333333333333339</v>
      </c>
      <c r="BJ68" s="1026">
        <f>Кадры!$I68</f>
        <v>0</v>
      </c>
      <c r="BK68" s="1022">
        <f>Кадры!$O68</f>
        <v>0</v>
      </c>
      <c r="BL68" s="1023">
        <f>Кадры!$K68</f>
        <v>0</v>
      </c>
      <c r="BM68" s="1027" t="str">
        <f t="array" ref="BM68">IF(BL68=0,"нет",BK68/BL68*100)</f>
        <v>нет</v>
      </c>
      <c r="BN68" s="1011">
        <f>Кадры!E68</f>
        <v>0</v>
      </c>
      <c r="BO68" s="1023">
        <f>Кадры!$K68</f>
        <v>0</v>
      </c>
      <c r="BP68" s="1025" t="str">
        <f t="shared" si="31"/>
        <v>нет</v>
      </c>
      <c r="BQ68" s="342" t="e">
        <f t="shared" si="32"/>
        <v>#DIV/0!</v>
      </c>
      <c r="BR68" s="1022">
        <f>Кадры!$L68</f>
        <v>0</v>
      </c>
      <c r="BS68" s="1545">
        <f>Кадры!$J68</f>
        <v>0</v>
      </c>
      <c r="BT68" s="1025">
        <f t="shared" si="33"/>
        <v>0</v>
      </c>
      <c r="BU68" s="933">
        <f t="shared" si="34"/>
        <v>100</v>
      </c>
      <c r="BV68" s="1011">
        <f>Кадры!$D68</f>
        <v>0</v>
      </c>
      <c r="BW68" s="1009">
        <f>Кадры!$F68</f>
        <v>0</v>
      </c>
      <c r="BX68" s="933" t="e">
        <f t="shared" si="35"/>
        <v>#DIV/0!</v>
      </c>
      <c r="BY68" s="1022">
        <f>Кадры!$P68</f>
        <v>0</v>
      </c>
      <c r="BZ68" s="1023">
        <f>Кадры!$L68</f>
        <v>0</v>
      </c>
      <c r="CA68" s="1006" t="str">
        <f t="shared" si="36"/>
        <v>нет</v>
      </c>
      <c r="CC68" s="1063" t="s">
        <v>114</v>
      </c>
      <c r="CD68" s="268"/>
      <c r="CE68" s="961"/>
      <c r="CG68" s="1028" t="e">
        <f t="array" ref="CG68">SUM(IF($F68:$CA68=нет,0,IF($F68:$CA68&gt;=$F$16:$CA$16,$F$16:$CA$16,IF($F68:$CA68&lt;$F$17:$CA$17,0,$F68:$CA68)))*$F$11:$CA$11*($F$104:$CA$104=CG$4)/$F$16:$CA$16*($F$106:$CA$115*($B$106:$B$115=$B68)*($A$106:$A$115=$A$104)))</f>
        <v>#DIV/0!</v>
      </c>
      <c r="CH68" s="1028" t="e">
        <f t="array" ref="CH68">SUM(IF($F68:$CA68=нет,0,IF($F68:$CA68&gt;=$F$16:$CA$16,$F$16:$CA$16,IF($F68:$CA68&lt;$F$17:$CA$17,0,$F68:$CA68)))*$F$11:$CA$11*($F$104:$CA$104=CH$4)/$F$16:$CA$16*($F$106:$CA$115*($B$106:$B$115=$B68)*($A$106:$A$115=$A$104)))</f>
        <v>#DIV/0!</v>
      </c>
      <c r="CI68" s="1028" t="e">
        <f t="array" ref="CI68">SUM(IF($F68:$CA68=нет,0,IF($F68:$CA68&gt;=$F$16:$CA$16,$F$16:$CA$16,IF($F68:$CA68&lt;$F$17:$CA$17,0,$F68:$CA68)))*$F$11:$CA$11*($F$105:$CA$105=CI$4)/$F$16:$CA$16*($F$106:$CA$115*($B$106:$B$115=$B68)*($A$106:$A$115=$A$104)))</f>
        <v>#DIV/0!</v>
      </c>
      <c r="CJ68" s="1072" t="e">
        <f>'НУ(ВИД3)'!D69</f>
        <v>#DIV/0!</v>
      </c>
      <c r="CK68" s="1028" t="e">
        <f t="array" ref="CK68">SUM(IF($F68:$CA68=нет,0,IF($F68:$CA68&gt;=$F$16:$CA$16,$F$16:$CA$16,IF($F68:$CA68&lt;$F$17:$CA$17,0,$F68:$CA68)))*$F$11:$CA$11*($F$104:$CA$104=CK$4)/$F$16:$CA$16*($F$106:$CA$115*($B$106:$B$115=$B68)*($A$106:$A$115=$A$104)))</f>
        <v>#DIV/0!</v>
      </c>
      <c r="CL68" s="1028" t="e">
        <f t="array" ref="CL68">SUM(IF($F68:$CA68=нет,0,IF($F68:$CA68&gt;=$F$16:$CA$16,$F$16:$CA$16,IF($F68:$CA68&lt;$F$17:$CA$17,0,$F68:$CA68)))*$F$11:$CA$11*($F$104:$CA$104=CL$4)/$F$16:$CA$16*($F$106:$CA$115*($B$106:$B$115=$B68)*($A$106:$A$115=$A$104)))</f>
        <v>#DIV/0!</v>
      </c>
      <c r="CM68" s="1028" t="e">
        <f t="array" ref="CM68">SUM(IF($F68:$CA68=нет,0,IF($F68:$CA68&gt;=$F$16:$CA$16,$F$16:$CA$16,IF($F68:$CA68&lt;$F$17:$CA$17,0,$F68:$CA68)))*$F$11:$CA$11*($F$104:$CA$104=CM$4)/$F$16:$CA$16*($F$106:$CA$115*($B$106:$B$115=$B68)*($A$106:$A$115=$A$104)))</f>
        <v>#DIV/0!</v>
      </c>
      <c r="CO68" s="1029" t="e">
        <f t="array" ref="CO68">SUM(IF($F68:$CA68=нет,0,100)*$F$11:$CA$11*($F$104:$CA$104=CO$4)/100*($F$106:$CA$115*($B$106:$B$115=$B68)*($A$106:$A$115=$A$104)))</f>
        <v>#DIV/0!</v>
      </c>
      <c r="CP68" s="1029" t="e">
        <f t="array" ref="CP68">SUM(IF($F68:$CA68=нет,0,100)*$F$11:$CA$11*($F$104:$CA$104=CP$4)/100*($F$106:$CA$115*($B$106:$B$115=$B68)*($A$106:$A$115=$A$104)))</f>
        <v>#DIV/0!</v>
      </c>
      <c r="CQ68" s="1029" t="e">
        <f t="array" ref="CQ68">SUM(IF($F68:$CA68=нет,0,100)*$F$11:$CA$11*($F$105:$CA$105=CQ$4)/100*($F$106:$CA$115*($B$106:$B$115=$B68)*($A$106:$A$115=$A$104)))</f>
        <v>#DIV/0!</v>
      </c>
      <c r="CR68" s="1057">
        <f>'НУ(ВИД3)'!E69</f>
        <v>21</v>
      </c>
      <c r="CS68" s="1029" t="e">
        <f t="array" ref="CS68">SUM(IF($F68:$CA68=нет,0,100)*$F$11:$CA$11*($F$104:$CA$104=CS$4)/100*($F$106:$CA$115*($B$106:$B$115=$B68)*($A$106:$A$115=$A$104)))</f>
        <v>#DIV/0!</v>
      </c>
      <c r="CT68" s="1029" t="e">
        <f t="array" ref="CT68">SUM(IF($F68:$CA68=нет,0,100)*$F$11:$CA$11*($F$104:$CA$104=CT$4)/100*($F$106:$CA$115*($B$106:$B$115=$B68)*($A$106:$A$115=$A$104)))</f>
        <v>#DIV/0!</v>
      </c>
      <c r="CU68" s="1029" t="e">
        <f t="array" ref="CU68">SUM(IF($F68:$CA68=нет,0,100)*$F$11:$CA$11*($F$104:$CA$104=CU$4)/100*($F$106:$CA$115*($B$106:$B$115=$B68)*($A$106:$A$115=$A$104)))</f>
        <v>#DIV/0!</v>
      </c>
      <c r="CW68" s="1030" t="e">
        <f>SUM(CG68:CH68,CJ68:CM68,'Реестр ППС'!#REF!,' "Вуз зож"'!S68)</f>
        <v>#REF!</v>
      </c>
      <c r="CX68" s="1030" t="e">
        <f>SUM(CO68:CP68,CR68:CU68,'Реестр ППС'!#REF!,' "Вуз зож"'!T68)</f>
        <v>#REF!</v>
      </c>
      <c r="CY68" s="1031" t="e">
        <f t="shared" si="96"/>
        <v>#REF!</v>
      </c>
      <c r="DA68" s="336" t="e">
        <f>SUM(CI68:CK68,CM68,'Реестр ППС'!#REF!,' "Вуз зож"'!S68)</f>
        <v>#REF!</v>
      </c>
      <c r="DB68" s="336" t="e">
        <f>SUM(CQ68:CS68,CU68,'Реестр ППС'!#REF!,' "Вуз зож"'!T68)</f>
        <v>#REF!</v>
      </c>
      <c r="DC68" s="1031" t="e">
        <f t="shared" si="37"/>
        <v>#REF!</v>
      </c>
      <c r="DD68" s="961"/>
      <c r="DE68" s="1032" t="e">
        <f t="shared" si="97"/>
        <v>#DIV/0!</v>
      </c>
      <c r="DF68" s="1032" t="e">
        <f t="shared" si="44"/>
        <v>#DIV/0!</v>
      </c>
      <c r="DG68" s="1032" t="e">
        <f t="shared" si="45"/>
        <v>#DIV/0!</v>
      </c>
      <c r="DH68" s="1032" t="e">
        <f t="shared" si="46"/>
        <v>#DIV/0!</v>
      </c>
      <c r="DI68" s="1032" t="e">
        <f t="shared" si="47"/>
        <v>#DIV/0!</v>
      </c>
      <c r="DJ68" s="1032" t="e">
        <f t="shared" si="48"/>
        <v>#DIV/0!</v>
      </c>
      <c r="DK68" s="1032" t="e">
        <f t="shared" si="49"/>
        <v>#DIV/0!</v>
      </c>
      <c r="DL68" s="334" t="str">
        <f t="shared" si="95"/>
        <v>Физики и информатики</v>
      </c>
      <c r="DM68" s="215" t="str">
        <f t="shared" si="94"/>
        <v>ФАРМ</v>
      </c>
      <c r="DN68" s="1506" t="e">
        <f t="shared" si="38"/>
        <v>#REF!</v>
      </c>
      <c r="DO68" s="338"/>
      <c r="DP68" s="338"/>
      <c r="DQ68" s="338"/>
      <c r="DR68" s="318"/>
      <c r="DS68" s="318"/>
      <c r="DT68" s="318"/>
      <c r="DU68" s="318"/>
      <c r="DV68" s="318"/>
      <c r="DW68" s="318"/>
      <c r="DX68" s="318"/>
    </row>
    <row r="69" spans="1:128" s="1055" customFormat="1" ht="15.75" thickBot="1" x14ac:dyDescent="0.25">
      <c r="A69" s="569" t="s">
        <v>374</v>
      </c>
      <c r="B69" s="976" t="s">
        <v>7</v>
      </c>
      <c r="C69" s="565">
        <f>Кадры!C69</f>
        <v>0</v>
      </c>
      <c r="D69" s="2081" t="str">
        <f t="shared" si="19"/>
        <v>КПСИХОЛОГИИ</v>
      </c>
      <c r="E69" s="2073" t="s">
        <v>16</v>
      </c>
      <c r="F69" s="568" t="s">
        <v>31</v>
      </c>
      <c r="G69" s="576"/>
      <c r="H69" s="934">
        <f t="shared" si="90"/>
        <v>100</v>
      </c>
      <c r="I69" s="1836"/>
      <c r="J69" s="1034">
        <f t="shared" si="91"/>
        <v>100</v>
      </c>
      <c r="K69" s="1035">
        <f>МероприятияВуза!$AR69+МероприятияВуза!$AQ69</f>
        <v>0</v>
      </c>
      <c r="L69" s="1036">
        <f>МероприятияВуза!$G69+МероприятияВуза!$H69</f>
        <v>0</v>
      </c>
      <c r="M69" s="1037" t="str">
        <f t="shared" si="20"/>
        <v>нет</v>
      </c>
      <c r="N69" s="1038">
        <f>МероприятияВуза!$AS69</f>
        <v>0</v>
      </c>
      <c r="O69" s="1036">
        <f>МероприятияВуза!$I69+МероприятияВуза!$J69</f>
        <v>0</v>
      </c>
      <c r="P69" s="1037" t="str">
        <f t="shared" si="21"/>
        <v>нет</v>
      </c>
      <c r="Q69" s="1840"/>
      <c r="R69" s="817">
        <f t="shared" si="22"/>
        <v>100</v>
      </c>
      <c r="S69" s="1852"/>
      <c r="T69" s="1845"/>
      <c r="U69" s="908" t="str">
        <f t="shared" si="23"/>
        <v>нет</v>
      </c>
      <c r="V69" s="1039"/>
      <c r="W69" s="576"/>
      <c r="X69" s="908" t="str">
        <f t="shared" si="7"/>
        <v>нет</v>
      </c>
      <c r="Y69" s="1862"/>
      <c r="Z69" s="1855"/>
      <c r="AA69" s="908" t="str">
        <f t="shared" si="8"/>
        <v>нет</v>
      </c>
      <c r="AB69" s="1039"/>
      <c r="AC69" s="576"/>
      <c r="AD69" s="908" t="str">
        <f t="shared" si="24"/>
        <v>нет</v>
      </c>
      <c r="AE69" s="1041"/>
      <c r="AF69" s="1042"/>
      <c r="AG69" s="908" t="str">
        <f t="shared" si="9"/>
        <v>нет</v>
      </c>
      <c r="AH69" s="1043"/>
      <c r="AI69" s="1042"/>
      <c r="AJ69" s="908" t="str">
        <f t="shared" si="25"/>
        <v>нет</v>
      </c>
      <c r="AK69" s="1044">
        <f>ПрофРабота!$Q69</f>
        <v>0</v>
      </c>
      <c r="AL69" s="577">
        <f>ПрофРабота!$R69</f>
        <v>0</v>
      </c>
      <c r="AM69" s="577">
        <f>ПрофРабота!$S69</f>
        <v>0</v>
      </c>
      <c r="AN69" s="934">
        <f>ПрофРабота!$C69</f>
        <v>0</v>
      </c>
      <c r="AO69" s="1038">
        <f>МероприятияВуза!$AT69</f>
        <v>0</v>
      </c>
      <c r="AP69" s="1036">
        <f>МероприятияВуза!$K69</f>
        <v>0</v>
      </c>
      <c r="AQ69" s="934" t="str">
        <f t="shared" si="26"/>
        <v>нет</v>
      </c>
      <c r="AR69" s="1045">
        <f>'ДПО(Финансы)'!$R69</f>
        <v>0</v>
      </c>
      <c r="AS69" s="1046">
        <f>'ДПО(Финансы)'!$D69</f>
        <v>0</v>
      </c>
      <c r="AT69" s="1047">
        <f t="shared" si="27"/>
        <v>0</v>
      </c>
      <c r="AU69" s="1514" t="str">
        <f t="shared" si="28"/>
        <v>нет</v>
      </c>
      <c r="AV69" s="1529">
        <f>'ДПО(Финансы)'!$R69</f>
        <v>0</v>
      </c>
      <c r="AW69" s="1046">
        <f>'ИДО(Финансы)'!$R69</f>
        <v>0</v>
      </c>
      <c r="AX69" s="1046">
        <f>'ДПО(Финансы)'!$S69</f>
        <v>0</v>
      </c>
      <c r="AY69" s="1046">
        <f>'ИДО(Финансы)'!$S69</f>
        <v>0</v>
      </c>
      <c r="AZ69" s="1049" t="e">
        <f t="shared" si="92"/>
        <v>#DIV/0!</v>
      </c>
      <c r="BA69" s="1515" t="str">
        <f t="array" ref="BA69">IF(($E69="да"),IF($AX69=0,"нет",$AV69/$AX69*100-100),"нет")</f>
        <v>нет</v>
      </c>
      <c r="BB69" s="1516" t="str">
        <f t="array" ref="BB69">IF(($E69="да"),IF($AX69=0,"нет",$AV69/$AX69*100),"нет")</f>
        <v>нет</v>
      </c>
      <c r="BC69" s="1517" t="str">
        <f t="shared" si="93"/>
        <v>нет</v>
      </c>
      <c r="BD69" s="1517" t="e">
        <f t="array" ref="BD69">IF(($E69="да"),IF($AZ69&gt;$AZ$17,$AZ69/$AZ$16*BD$16,нет),нет)</f>
        <v>#DIV/0!</v>
      </c>
      <c r="BE69" s="1045">
        <f>'ИДО(Финансы)'!$R69</f>
        <v>0</v>
      </c>
      <c r="BF69" s="1046">
        <f>'ИДО(Финансы)'!D69</f>
        <v>0</v>
      </c>
      <c r="BG69" s="1047" t="str">
        <f t="shared" si="29"/>
        <v>нет</v>
      </c>
      <c r="BH69" s="1514" t="str">
        <f t="shared" si="30"/>
        <v>нет</v>
      </c>
      <c r="BI69" s="1518" t="str">
        <f t="array" ref="BI69">IF(($E69="да")+($F69="да"),IF((BF69+AS69)=0,"нет",(AR69+BE69)/(BF69+AS69)*100),"нет")</f>
        <v>нет</v>
      </c>
      <c r="BJ69" s="1051">
        <f>Кадры!$I69</f>
        <v>0</v>
      </c>
      <c r="BK69" s="1048">
        <f>Кадры!$O69</f>
        <v>0</v>
      </c>
      <c r="BL69" s="943">
        <f>Кадры!$K69</f>
        <v>0</v>
      </c>
      <c r="BM69" s="1052" t="str">
        <f t="array" ref="BM69">IF(BL69=0,"нет",BK69/BL69*100)</f>
        <v>нет</v>
      </c>
      <c r="BN69" s="1038">
        <f>Кадры!E69</f>
        <v>0</v>
      </c>
      <c r="BO69" s="943">
        <f>Кадры!$K69</f>
        <v>0</v>
      </c>
      <c r="BP69" s="1050" t="str">
        <f t="shared" si="31"/>
        <v>нет</v>
      </c>
      <c r="BQ69" s="342" t="e">
        <f t="shared" si="32"/>
        <v>#DIV/0!</v>
      </c>
      <c r="BR69" s="1048">
        <f>Кадры!$L69</f>
        <v>0</v>
      </c>
      <c r="BS69" s="1543">
        <f>Кадры!$J69</f>
        <v>0</v>
      </c>
      <c r="BT69" s="1050">
        <f t="shared" si="33"/>
        <v>0</v>
      </c>
      <c r="BU69" s="934">
        <f t="shared" si="34"/>
        <v>100</v>
      </c>
      <c r="BV69" s="1038">
        <f>Кадры!$D69</f>
        <v>0</v>
      </c>
      <c r="BW69" s="1036">
        <f>Кадры!$F69</f>
        <v>0</v>
      </c>
      <c r="BX69" s="934" t="e">
        <f t="shared" si="35"/>
        <v>#DIV/0!</v>
      </c>
      <c r="BY69" s="1048">
        <f>Кадры!$P69</f>
        <v>0</v>
      </c>
      <c r="BZ69" s="943">
        <f>Кадры!$L69</f>
        <v>0</v>
      </c>
      <c r="CA69" s="1033" t="str">
        <f t="shared" si="36"/>
        <v>нет</v>
      </c>
      <c r="CB69" s="215"/>
      <c r="CC69" s="991" t="s">
        <v>334</v>
      </c>
      <c r="CD69" s="1053"/>
      <c r="CE69" s="1054"/>
      <c r="CG69" s="1056" t="e">
        <f t="array" ref="CG69">SUM(IF($F69:$CA69=нет,0,IF($F69:$CA69&gt;=$F$16:$CA$16,$F$16:$CA$16,IF($F69:$CA69&lt;$F$17:$CA$17,0,$F69:$CA69)))*$F$11:$CA$11*($F$104:$CA$104=CG$4)/$F$16:$CA$16*($F$106:$CA$115*($B$106:$B$115=$B69)*($A$106:$A$115=$A$104)))</f>
        <v>#DIV/0!</v>
      </c>
      <c r="CH69" s="1056" t="e">
        <f t="array" ref="CH69">SUM(IF($F69:$CA69=нет,0,IF($F69:$CA69&gt;=$F$16:$CA$16,$F$16:$CA$16,IF($F69:$CA69&lt;$F$17:$CA$17,0,$F69:$CA69)))*$F$11:$CA$11*($F$104:$CA$104=CH$4)/$F$16:$CA$16*($F$106:$CA$115*($B$106:$B$115=$B69)*($A$106:$A$115=$A$104)))</f>
        <v>#DIV/0!</v>
      </c>
      <c r="CI69" s="1056" t="e">
        <f t="array" ref="CI69">SUM(IF($F69:$CA69=нет,0,IF($F69:$CA69&gt;=$F$16:$CA$16,$F$16:$CA$16,IF($F69:$CA69&lt;$F$17:$CA$17,0,$F69:$CA69)))*$F$11:$CA$11*($F$105:$CA$105=CI$4)/$F$16:$CA$16*($F$106:$CA$115*($B$106:$B$115=$B69)*($A$106:$A$115=$A$104)))</f>
        <v>#DIV/0!</v>
      </c>
      <c r="CJ69" s="1072" t="e">
        <f>'НУ(ВИД3)'!D70</f>
        <v>#DIV/0!</v>
      </c>
      <c r="CK69" s="1056" t="e">
        <f t="array" ref="CK69">SUM(IF($F69:$CA69=нет,0,IF($F69:$CA69&gt;=$F$16:$CA$16,$F$16:$CA$16,IF($F69:$CA69&lt;$F$17:$CA$17,0,$F69:$CA69)))*$F$11:$CA$11*($F$104:$CA$104=CK$4)/$F$16:$CA$16*($F$106:$CA$115*($B$106:$B$115=$B69)*($A$106:$A$115=$A$104)))</f>
        <v>#DIV/0!</v>
      </c>
      <c r="CL69" s="1056" t="e">
        <f t="array" ref="CL69">SUM(IF($F69:$CA69=нет,0,IF($F69:$CA69&gt;=$F$16:$CA$16,$F$16:$CA$16,IF($F69:$CA69&lt;$F$17:$CA$17,0,$F69:$CA69)))*$F$11:$CA$11*($F$104:$CA$104=CL$4)/$F$16:$CA$16*($F$106:$CA$115*($B$106:$B$115=$B69)*($A$106:$A$115=$A$104)))</f>
        <v>#DIV/0!</v>
      </c>
      <c r="CM69" s="1056" t="e">
        <f t="array" ref="CM69">SUM(IF($F69:$CA69=нет,0,IF($F69:$CA69&gt;=$F$16:$CA$16,$F$16:$CA$16,IF($F69:$CA69&lt;$F$17:$CA$17,0,$F69:$CA69)))*$F$11:$CA$11*($F$104:$CA$104=CM$4)/$F$16:$CA$16*($F$106:$CA$115*($B$106:$B$115=$B69)*($A$106:$A$115=$A$104)))</f>
        <v>#DIV/0!</v>
      </c>
      <c r="CO69" s="1057" t="e">
        <f t="array" ref="CO69">SUM(IF($F69:$CA69=нет,0,100)*$F$11:$CA$11*($F$104:$CA$104=CO$4)/100*($F$106:$CA$115*($B$106:$B$115=$B69)*($A$106:$A$115=$A$104)))</f>
        <v>#DIV/0!</v>
      </c>
      <c r="CP69" s="1057" t="e">
        <f t="array" ref="CP69">SUM(IF($F69:$CA69=нет,0,100)*$F$11:$CA$11*($F$104:$CA$104=CP$4)/100*($F$106:$CA$115*($B$106:$B$115=$B69)*($A$106:$A$115=$A$104)))</f>
        <v>#DIV/0!</v>
      </c>
      <c r="CQ69" s="1057" t="e">
        <f t="array" ref="CQ69">SUM(IF($F69:$CA69=нет,0,100)*$F$11:$CA$11*($F$105:$CA$105=CQ$4)/100*($F$106:$CA$115*($B$106:$B$115=$B69)*($A$106:$A$115=$A$104)))</f>
        <v>#DIV/0!</v>
      </c>
      <c r="CR69" s="1057">
        <f>'НУ(ВИД3)'!E70</f>
        <v>21</v>
      </c>
      <c r="CS69" s="1057" t="e">
        <f t="array" ref="CS69">SUM(IF($F69:$CA69=нет,0,100)*$F$11:$CA$11*($F$104:$CA$104=CS$4)/100*($F$106:$CA$115*($B$106:$B$115=$B69)*($A$106:$A$115=$A$104)))</f>
        <v>#DIV/0!</v>
      </c>
      <c r="CT69" s="1057" t="e">
        <f t="array" ref="CT69">SUM(IF($F69:$CA69=нет,0,100)*$F$11:$CA$11*($F$104:$CA$104=CT$4)/100*($F$106:$CA$115*($B$106:$B$115=$B69)*($A$106:$A$115=$A$104)))</f>
        <v>#DIV/0!</v>
      </c>
      <c r="CU69" s="1057" t="e">
        <f t="array" ref="CU69">SUM(IF($F69:$CA69=нет,0,100)*$F$11:$CA$11*($F$104:$CA$104=CU$4)/100*($F$106:$CA$115*($B$106:$B$115=$B69)*($A$106:$A$115=$A$104)))</f>
        <v>#DIV/0!</v>
      </c>
      <c r="CW69" s="1059" t="e">
        <f>SUM(CG69:CH69,CJ69:CM69,'Реестр ППС'!#REF!,' "Вуз зож"'!S69)</f>
        <v>#REF!</v>
      </c>
      <c r="CX69" s="1059" t="e">
        <f>SUM(CO69:CP69,CR69:CU69,'Реестр ППС'!#REF!,' "Вуз зож"'!T69)</f>
        <v>#REF!</v>
      </c>
      <c r="CY69" s="1058" t="e">
        <f t="shared" si="96"/>
        <v>#REF!</v>
      </c>
      <c r="DA69" s="1060" t="e">
        <f>SUM(CI69:CK69,CM69,'Реестр ППС'!#REF!,' "Вуз зож"'!S69)</f>
        <v>#REF!</v>
      </c>
      <c r="DB69" s="1060" t="e">
        <f>SUM(CQ69:CS69,CU69,'Реестр ППС'!#REF!,' "Вуз зож"'!T69)</f>
        <v>#REF!</v>
      </c>
      <c r="DC69" s="1058" t="e">
        <f t="shared" si="37"/>
        <v>#REF!</v>
      </c>
      <c r="DD69" s="1054"/>
      <c r="DE69" s="1061" t="e">
        <f t="shared" si="97"/>
        <v>#DIV/0!</v>
      </c>
      <c r="DF69" s="1061" t="e">
        <f t="shared" si="44"/>
        <v>#DIV/0!</v>
      </c>
      <c r="DG69" s="1061" t="e">
        <f t="shared" si="45"/>
        <v>#DIV/0!</v>
      </c>
      <c r="DH69" s="1061" t="e">
        <f t="shared" si="46"/>
        <v>#DIV/0!</v>
      </c>
      <c r="DI69" s="1061" t="e">
        <f t="shared" si="47"/>
        <v>#DIV/0!</v>
      </c>
      <c r="DJ69" s="1061" t="e">
        <f t="shared" si="48"/>
        <v>#DIV/0!</v>
      </c>
      <c r="DK69" s="1061" t="e">
        <f t="shared" si="49"/>
        <v>#DIV/0!</v>
      </c>
      <c r="DL69" s="1062" t="str">
        <f t="shared" si="95"/>
        <v>Клинической психологии</v>
      </c>
      <c r="DM69" s="1055" t="str">
        <f t="shared" si="94"/>
        <v>КПСИХОЛОГИИ</v>
      </c>
      <c r="DN69" s="1504" t="e">
        <f t="shared" si="38"/>
        <v>#REF!</v>
      </c>
      <c r="DO69" s="338"/>
      <c r="DP69" s="338"/>
      <c r="DQ69" s="338"/>
      <c r="DR69" s="318"/>
      <c r="DS69" s="318"/>
      <c r="DT69" s="318"/>
      <c r="DU69" s="318"/>
      <c r="DV69" s="318"/>
      <c r="DW69" s="318"/>
      <c r="DX69" s="318"/>
    </row>
    <row r="70" spans="1:128" s="215" customFormat="1" ht="15.75" thickBot="1" x14ac:dyDescent="0.25">
      <c r="A70" s="550" t="s">
        <v>376</v>
      </c>
      <c r="B70" s="340" t="s">
        <v>7</v>
      </c>
      <c r="C70" s="482">
        <f>Кадры!C70</f>
        <v>0</v>
      </c>
      <c r="D70" s="2082" t="str">
        <f t="shared" si="19"/>
        <v>КПСИХОЛОГИИ</v>
      </c>
      <c r="E70" s="2074" t="s">
        <v>16</v>
      </c>
      <c r="F70" s="341" t="s">
        <v>31</v>
      </c>
      <c r="G70" s="909"/>
      <c r="H70" s="817">
        <f t="shared" si="90"/>
        <v>100</v>
      </c>
      <c r="I70" s="1748"/>
      <c r="J70" s="860">
        <f t="shared" si="91"/>
        <v>100</v>
      </c>
      <c r="K70" s="920">
        <f>МероприятияВуза!$AR70+МероприятияВуза!$AQ70</f>
        <v>0</v>
      </c>
      <c r="L70" s="919">
        <f>МероприятияВуза!$G70+МероприятияВуза!$H70</f>
        <v>0</v>
      </c>
      <c r="M70" s="925" t="str">
        <f t="shared" si="20"/>
        <v>нет</v>
      </c>
      <c r="N70" s="923">
        <f>МероприятияВуза!$AS70</f>
        <v>0</v>
      </c>
      <c r="O70" s="919">
        <f>МероприятияВуза!$I70+МероприятияВуза!$J70</f>
        <v>0</v>
      </c>
      <c r="P70" s="925" t="str">
        <f t="shared" si="21"/>
        <v>нет</v>
      </c>
      <c r="Q70" s="1838"/>
      <c r="R70" s="817">
        <f t="shared" si="22"/>
        <v>100</v>
      </c>
      <c r="S70" s="1847"/>
      <c r="T70" s="1848"/>
      <c r="U70" s="844" t="str">
        <f t="shared" si="23"/>
        <v>нет</v>
      </c>
      <c r="V70" s="904"/>
      <c r="W70" s="909"/>
      <c r="X70" s="844" t="str">
        <f t="shared" si="7"/>
        <v>нет</v>
      </c>
      <c r="Y70" s="1857"/>
      <c r="Z70" s="1858"/>
      <c r="AA70" s="844" t="str">
        <f t="shared" si="8"/>
        <v>нет</v>
      </c>
      <c r="AB70" s="1748"/>
      <c r="AC70" s="909"/>
      <c r="AD70" s="912" t="str">
        <f t="shared" si="24"/>
        <v>нет</v>
      </c>
      <c r="AE70" s="947"/>
      <c r="AF70" s="949"/>
      <c r="AG70" s="844" t="str">
        <f t="shared" si="9"/>
        <v>нет</v>
      </c>
      <c r="AH70" s="951"/>
      <c r="AI70" s="949"/>
      <c r="AJ70" s="844" t="str">
        <f t="shared" si="25"/>
        <v>нет</v>
      </c>
      <c r="AK70" s="935">
        <f>ПрофРабота!$Q70</f>
        <v>0</v>
      </c>
      <c r="AL70" s="485">
        <f>ПрофРабота!$R70</f>
        <v>0</v>
      </c>
      <c r="AM70" s="485">
        <f>ПрофРабота!$S70</f>
        <v>0</v>
      </c>
      <c r="AN70" s="817">
        <f>ПрофРабота!$C70</f>
        <v>0</v>
      </c>
      <c r="AO70" s="923">
        <f>МероприятияВуза!$AT70</f>
        <v>0</v>
      </c>
      <c r="AP70" s="919">
        <f>МероприятияВуза!$K70</f>
        <v>0</v>
      </c>
      <c r="AQ70" s="817" t="str">
        <f t="shared" si="26"/>
        <v>нет</v>
      </c>
      <c r="AR70" s="938">
        <f>'ДПО(Финансы)'!$R70</f>
        <v>1596764</v>
      </c>
      <c r="AS70" s="939">
        <f>'ДПО(Финансы)'!$D70</f>
        <v>600000</v>
      </c>
      <c r="AT70" s="510" t="e">
        <f t="shared" si="27"/>
        <v>#DIV/0!</v>
      </c>
      <c r="AU70" s="1519">
        <f t="shared" si="28"/>
        <v>266.12733333333335</v>
      </c>
      <c r="AV70" s="938">
        <f>'ДПО(Финансы)'!$R70</f>
        <v>1596764</v>
      </c>
      <c r="AW70" s="939">
        <f>'ИДО(Финансы)'!$R70</f>
        <v>0</v>
      </c>
      <c r="AX70" s="939">
        <f>'ДПО(Финансы)'!$S70</f>
        <v>1886311.1</v>
      </c>
      <c r="AY70" s="939">
        <f>'ИДО(Финансы)'!$S70</f>
        <v>0</v>
      </c>
      <c r="AZ70" s="839" t="e">
        <f t="shared" si="92"/>
        <v>#DIV/0!</v>
      </c>
      <c r="BA70" s="1520">
        <f t="array" ref="BA70">IF(($E70="да"),IF($AX70=0,"нет",$AV70/$AX70*100-100),"нет")</f>
        <v>-15.349912323582259</v>
      </c>
      <c r="BB70" s="1521">
        <f t="array" ref="BB70">IF(($E70="да"),IF($AX70=0,"нет",$AV70/$AX70*100),"нет")</f>
        <v>84.650087676417741</v>
      </c>
      <c r="BC70" s="1522">
        <f t="shared" si="93"/>
        <v>266.12733333333335</v>
      </c>
      <c r="BD70" s="1522" t="e">
        <f t="array" ref="BD70">IF(($E70="да"),IF($AZ70&gt;$AZ$17,$AZ70/$AZ$16*BD$16,нет),нет)</f>
        <v>#DIV/0!</v>
      </c>
      <c r="BE70" s="938">
        <f>'ИДО(Финансы)'!$R70</f>
        <v>0</v>
      </c>
      <c r="BF70" s="939">
        <f>'ИДО(Финансы)'!D70</f>
        <v>0</v>
      </c>
      <c r="BG70" s="510" t="str">
        <f t="shared" si="29"/>
        <v>нет</v>
      </c>
      <c r="BH70" s="1519" t="str">
        <f t="shared" si="30"/>
        <v>нет</v>
      </c>
      <c r="BI70" s="1523">
        <f t="array" ref="BI70">IF(($E70="да")+($F70="да"),IF((BF70+AS70)=0,"нет",(AR70+BE70)/(BF70+AS70)*100),"нет")</f>
        <v>266.12733333333335</v>
      </c>
      <c r="BJ70" s="829">
        <f>Кадры!$I70</f>
        <v>0</v>
      </c>
      <c r="BK70" s="940">
        <f>Кадры!$O70</f>
        <v>0</v>
      </c>
      <c r="BL70" s="941">
        <f>Кадры!$K70</f>
        <v>0</v>
      </c>
      <c r="BM70" s="821" t="str">
        <f t="array" ref="BM70">IF(BL70=0,"нет",BK70/BL70*100)</f>
        <v>нет</v>
      </c>
      <c r="BN70" s="923">
        <f>Кадры!E70</f>
        <v>0</v>
      </c>
      <c r="BO70" s="941">
        <f>Кадры!$K70</f>
        <v>0</v>
      </c>
      <c r="BP70" s="343" t="str">
        <f t="shared" si="31"/>
        <v>нет</v>
      </c>
      <c r="BQ70" s="342" t="e">
        <f t="shared" si="32"/>
        <v>#DIV/0!</v>
      </c>
      <c r="BR70" s="940">
        <f>Кадры!$L70</f>
        <v>0</v>
      </c>
      <c r="BS70" s="1544">
        <f>Кадры!$J70</f>
        <v>0</v>
      </c>
      <c r="BT70" s="343">
        <f t="shared" si="33"/>
        <v>0</v>
      </c>
      <c r="BU70" s="817">
        <f t="shared" si="34"/>
        <v>100</v>
      </c>
      <c r="BV70" s="923">
        <f>Кадры!$D70</f>
        <v>0</v>
      </c>
      <c r="BW70" s="919">
        <f>Кадры!$F70</f>
        <v>0</v>
      </c>
      <c r="BX70" s="817" t="e">
        <f t="shared" si="35"/>
        <v>#DIV/0!</v>
      </c>
      <c r="BY70" s="940">
        <f>Кадры!$P70</f>
        <v>0</v>
      </c>
      <c r="BZ70" s="941">
        <f>Кадры!$L70</f>
        <v>0</v>
      </c>
      <c r="CA70" s="342" t="str">
        <f t="shared" si="36"/>
        <v>нет</v>
      </c>
      <c r="CC70" s="505" t="s">
        <v>334</v>
      </c>
      <c r="CD70" s="268"/>
      <c r="CE70" s="961"/>
      <c r="CG70" s="335" t="e">
        <f t="array" ref="CG70">SUM(IF($F70:$CA70=нет,0,IF($F70:$CA70&gt;=$F$16:$CA$16,$F$16:$CA$16,IF($F70:$CA70&lt;$F$17:$CA$17,0,$F70:$CA70)))*$F$11:$CA$11*($F$104:$CA$104=CG$4)/$F$16:$CA$16*($F$106:$CA$115*($B$106:$B$115=$B70)*($A$106:$A$115=$A$104)))</f>
        <v>#DIV/0!</v>
      </c>
      <c r="CH70" s="335" t="e">
        <f t="array" ref="CH70">SUM(IF($F70:$CA70=нет,0,IF($F70:$CA70&gt;=$F$16:$CA$16,$F$16:$CA$16,IF($F70:$CA70&lt;$F$17:$CA$17,0,$F70:$CA70)))*$F$11:$CA$11*($F$104:$CA$104=CH$4)/$F$16:$CA$16*($F$106:$CA$115*($B$106:$B$115=$B70)*($A$106:$A$115=$A$104)))</f>
        <v>#DIV/0!</v>
      </c>
      <c r="CI70" s="335" t="e">
        <f t="array" ref="CI70">SUM(IF($F70:$CA70=нет,0,IF($F70:$CA70&gt;=$F$16:$CA$16,$F$16:$CA$16,IF($F70:$CA70&lt;$F$17:$CA$17,0,$F70:$CA70)))*$F$11:$CA$11*($F$105:$CA$105=CI$4)/$F$16:$CA$16*($F$106:$CA$115*($B$106:$B$115=$B70)*($A$106:$A$115=$A$104)))</f>
        <v>#DIV/0!</v>
      </c>
      <c r="CJ70" s="1072" t="e">
        <f>'НУ(ВИД3)'!D71</f>
        <v>#DIV/0!</v>
      </c>
      <c r="CK70" s="335" t="e">
        <f t="array" ref="CK70">SUM(IF($F70:$CA70=нет,0,IF($F70:$CA70&gt;=$F$16:$CA$16,$F$16:$CA$16,IF($F70:$CA70&lt;$F$17:$CA$17,0,$F70:$CA70)))*$F$11:$CA$11*($F$104:$CA$104=CK$4)/$F$16:$CA$16*($F$106:$CA$115*($B$106:$B$115=$B70)*($A$106:$A$115=$A$104)))</f>
        <v>#DIV/0!</v>
      </c>
      <c r="CL70" s="335" t="e">
        <f t="array" ref="CL70">SUM(IF($F70:$CA70=нет,0,IF($F70:$CA70&gt;=$F$16:$CA$16,$F$16:$CA$16,IF($F70:$CA70&lt;$F$17:$CA$17,0,$F70:$CA70)))*$F$11:$CA$11*($F$104:$CA$104=CL$4)/$F$16:$CA$16*($F$106:$CA$115*($B$106:$B$115=$B70)*($A$106:$A$115=$A$104)))</f>
        <v>#DIV/0!</v>
      </c>
      <c r="CM70" s="335" t="e">
        <f t="array" ref="CM70">SUM(IF($F70:$CA70=нет,0,IF($F70:$CA70&gt;=$F$16:$CA$16,$F$16:$CA$16,IF($F70:$CA70&lt;$F$17:$CA$17,0,$F70:$CA70)))*$F$11:$CA$11*($F$104:$CA$104=CM$4)/$F$16:$CA$16*($F$106:$CA$115*($B$106:$B$115=$B70)*($A$106:$A$115=$A$104)))</f>
        <v>#DIV/0!</v>
      </c>
      <c r="CO70" s="1000" t="e">
        <f t="array" ref="CO70">SUM(IF($F70:$CA70=нет,0,100)*$F$11:$CA$11*($F$104:$CA$104=CO$4)/100*($F$106:$CA$115*($B$106:$B$115=$B70)*($A$106:$A$115=$A$104)))</f>
        <v>#DIV/0!</v>
      </c>
      <c r="CP70" s="1000" t="e">
        <f t="array" ref="CP70">SUM(IF($F70:$CA70=нет,0,100)*$F$11:$CA$11*($F$104:$CA$104=CP$4)/100*($F$106:$CA$115*($B$106:$B$115=$B70)*($A$106:$A$115=$A$104)))</f>
        <v>#DIV/0!</v>
      </c>
      <c r="CQ70" s="1000" t="e">
        <f t="array" ref="CQ70">SUM(IF($F70:$CA70=нет,0,100)*$F$11:$CA$11*($F$105:$CA$105=CQ$4)/100*($F$106:$CA$115*($B$106:$B$115=$B70)*($A$106:$A$115=$A$104)))</f>
        <v>#DIV/0!</v>
      </c>
      <c r="CR70" s="1057">
        <f>'НУ(ВИД3)'!E71</f>
        <v>21</v>
      </c>
      <c r="CS70" s="1000" t="e">
        <f t="array" ref="CS70">SUM(IF($F70:$CA70=нет,0,100)*$F$11:$CA$11*($F$104:$CA$104=CS$4)/100*($F$106:$CA$115*($B$106:$B$115=$B70)*($A$106:$A$115=$A$104)))</f>
        <v>#DIV/0!</v>
      </c>
      <c r="CT70" s="1000" t="e">
        <f t="array" ref="CT70">SUM(IF($F70:$CA70=нет,0,100)*$F$11:$CA$11*($F$104:$CA$104=CT$4)/100*($F$106:$CA$115*($B$106:$B$115=$B70)*($A$106:$A$115=$A$104)))</f>
        <v>#DIV/0!</v>
      </c>
      <c r="CU70" s="1000" t="e">
        <f t="array" ref="CU70">SUM(IF($F70:$CA70=нет,0,100)*$F$11:$CA$11*($F$104:$CA$104=CU$4)/100*($F$106:$CA$115*($B$106:$B$115=$B70)*($A$106:$A$115=$A$104)))</f>
        <v>#DIV/0!</v>
      </c>
      <c r="CW70" s="333" t="e">
        <f>SUM(CG70:CH70,CJ70:CM70,'Реестр ППС'!#REF!,' "Вуз зож"'!S70)</f>
        <v>#REF!</v>
      </c>
      <c r="CX70" s="333" t="e">
        <f>SUM(CO70:CP70,CR70:CU70,'Реестр ППС'!#REF!,' "Вуз зож"'!T70)</f>
        <v>#REF!</v>
      </c>
      <c r="CY70" s="332" t="e">
        <f t="shared" si="96"/>
        <v>#REF!</v>
      </c>
      <c r="DA70" s="336" t="e">
        <f>SUM(CI70:CK70,CM70,'Реестр ППС'!#REF!,' "Вуз зож"'!S70)</f>
        <v>#REF!</v>
      </c>
      <c r="DB70" s="336" t="e">
        <f>SUM(CQ70:CS70,CU70,'Реестр ППС'!#REF!,' "Вуз зож"'!T70)</f>
        <v>#REF!</v>
      </c>
      <c r="DC70" s="332" t="e">
        <f t="shared" si="37"/>
        <v>#REF!</v>
      </c>
      <c r="DD70" s="961"/>
      <c r="DE70" s="337" t="e">
        <f t="shared" si="97"/>
        <v>#DIV/0!</v>
      </c>
      <c r="DF70" s="337" t="e">
        <f t="shared" si="44"/>
        <v>#DIV/0!</v>
      </c>
      <c r="DG70" s="337" t="e">
        <f t="shared" si="45"/>
        <v>#DIV/0!</v>
      </c>
      <c r="DH70" s="337" t="e">
        <f t="shared" si="46"/>
        <v>#DIV/0!</v>
      </c>
      <c r="DI70" s="337" t="e">
        <f t="shared" si="47"/>
        <v>#DIV/0!</v>
      </c>
      <c r="DJ70" s="337" t="e">
        <f t="shared" si="48"/>
        <v>#DIV/0!</v>
      </c>
      <c r="DK70" s="337" t="e">
        <f t="shared" si="49"/>
        <v>#DIV/0!</v>
      </c>
      <c r="DL70" s="334" t="str">
        <f t="shared" si="95"/>
        <v>Медицинской реабилитологии с курсом ДПО</v>
      </c>
      <c r="DM70" s="215" t="str">
        <f t="shared" si="94"/>
        <v>КПСИХОЛОГИИ</v>
      </c>
      <c r="DN70" s="1505" t="e">
        <f t="shared" si="38"/>
        <v>#REF!</v>
      </c>
      <c r="DO70" s="338"/>
      <c r="DP70" s="338"/>
      <c r="DQ70" s="338"/>
      <c r="DR70" s="318"/>
      <c r="DS70" s="318"/>
      <c r="DT70" s="318"/>
      <c r="DU70" s="318"/>
      <c r="DV70" s="318"/>
      <c r="DW70" s="318"/>
      <c r="DX70" s="318"/>
    </row>
    <row r="71" spans="1:128" s="215" customFormat="1" ht="15.75" thickBot="1" x14ac:dyDescent="0.25">
      <c r="A71" s="550" t="s">
        <v>336</v>
      </c>
      <c r="B71" s="340" t="s">
        <v>7</v>
      </c>
      <c r="C71" s="482">
        <f>Кадры!C71</f>
        <v>0</v>
      </c>
      <c r="D71" s="2082" t="str">
        <f t="shared" si="19"/>
        <v>КПСИХОЛОГИИ</v>
      </c>
      <c r="E71" s="2074" t="s">
        <v>16</v>
      </c>
      <c r="F71" s="341" t="s">
        <v>31</v>
      </c>
      <c r="G71" s="909"/>
      <c r="H71" s="817">
        <f t="shared" si="90"/>
        <v>100</v>
      </c>
      <c r="I71" s="1748"/>
      <c r="J71" s="860">
        <f t="shared" si="91"/>
        <v>100</v>
      </c>
      <c r="K71" s="920">
        <f>МероприятияВуза!$AR71+МероприятияВуза!$AQ71</f>
        <v>0</v>
      </c>
      <c r="L71" s="919">
        <f>МероприятияВуза!$G71+МероприятияВуза!$H71</f>
        <v>0</v>
      </c>
      <c r="M71" s="925" t="str">
        <f t="shared" si="20"/>
        <v>нет</v>
      </c>
      <c r="N71" s="923">
        <f>МероприятияВуза!$AS71</f>
        <v>0</v>
      </c>
      <c r="O71" s="919">
        <f>МероприятияВуза!$I71+МероприятияВуза!$J71</f>
        <v>0</v>
      </c>
      <c r="P71" s="925" t="str">
        <f t="shared" si="21"/>
        <v>нет</v>
      </c>
      <c r="Q71" s="1838"/>
      <c r="R71" s="817">
        <f t="shared" si="22"/>
        <v>100</v>
      </c>
      <c r="S71" s="1847"/>
      <c r="T71" s="1848"/>
      <c r="U71" s="844" t="str">
        <f t="shared" si="23"/>
        <v>нет</v>
      </c>
      <c r="V71" s="904"/>
      <c r="W71" s="909"/>
      <c r="X71" s="844" t="str">
        <f t="shared" si="7"/>
        <v>нет</v>
      </c>
      <c r="Y71" s="1857"/>
      <c r="Z71" s="1858"/>
      <c r="AA71" s="844" t="str">
        <f t="shared" si="8"/>
        <v>нет</v>
      </c>
      <c r="AB71" s="1748"/>
      <c r="AC71" s="909"/>
      <c r="AD71" s="912" t="str">
        <f t="shared" si="24"/>
        <v>нет</v>
      </c>
      <c r="AE71" s="947"/>
      <c r="AF71" s="949"/>
      <c r="AG71" s="844" t="str">
        <f t="shared" si="9"/>
        <v>нет</v>
      </c>
      <c r="AH71" s="951"/>
      <c r="AI71" s="949"/>
      <c r="AJ71" s="844" t="str">
        <f t="shared" si="25"/>
        <v>нет</v>
      </c>
      <c r="AK71" s="935">
        <f>ПрофРабота!$Q71</f>
        <v>0</v>
      </c>
      <c r="AL71" s="485">
        <f>ПрофРабота!$R71</f>
        <v>0</v>
      </c>
      <c r="AM71" s="485">
        <f>ПрофРабота!$S71</f>
        <v>0</v>
      </c>
      <c r="AN71" s="817">
        <f>ПрофРабота!$C71</f>
        <v>0</v>
      </c>
      <c r="AO71" s="923">
        <f>МероприятияВуза!$AT71</f>
        <v>0</v>
      </c>
      <c r="AP71" s="919">
        <f>МероприятияВуза!$K71</f>
        <v>0</v>
      </c>
      <c r="AQ71" s="817" t="str">
        <f t="shared" si="26"/>
        <v>нет</v>
      </c>
      <c r="AR71" s="938">
        <f>'ДПО(Финансы)'!$R71</f>
        <v>439313</v>
      </c>
      <c r="AS71" s="939">
        <f>'ДПО(Финансы)'!$D71</f>
        <v>170000</v>
      </c>
      <c r="AT71" s="510" t="e">
        <f t="shared" si="27"/>
        <v>#DIV/0!</v>
      </c>
      <c r="AU71" s="1519">
        <f t="shared" si="28"/>
        <v>258.4194117647059</v>
      </c>
      <c r="AV71" s="938">
        <f>'ДПО(Финансы)'!$R71</f>
        <v>439313</v>
      </c>
      <c r="AW71" s="939">
        <f>'ИДО(Финансы)'!$R71</f>
        <v>0</v>
      </c>
      <c r="AX71" s="939">
        <f>'ДПО(Финансы)'!$S71</f>
        <v>172000</v>
      </c>
      <c r="AY71" s="939">
        <f>'ИДО(Финансы)'!$S71</f>
        <v>0</v>
      </c>
      <c r="AZ71" s="839" t="e">
        <f t="shared" si="92"/>
        <v>#DIV/0!</v>
      </c>
      <c r="BA71" s="1520">
        <f t="array" ref="BA71">IF(($E71="да"),IF($AX71=0,"нет",$AV71/$AX71*100-100),"нет")</f>
        <v>155.41453488372093</v>
      </c>
      <c r="BB71" s="1521">
        <f t="array" ref="BB71">IF(($E71="да"),IF($AX71=0,"нет",$AV71/$AX71*100),"нет")</f>
        <v>255.41453488372093</v>
      </c>
      <c r="BC71" s="1522">
        <f t="shared" si="93"/>
        <v>258.4194117647059</v>
      </c>
      <c r="BD71" s="1522" t="e">
        <f t="array" ref="BD71">IF(($E71="да"),IF($AZ71&gt;$AZ$17,$AZ71/$AZ$16*BD$16,нет),нет)</f>
        <v>#DIV/0!</v>
      </c>
      <c r="BE71" s="938">
        <f>'ИДО(Финансы)'!$R71</f>
        <v>0</v>
      </c>
      <c r="BF71" s="939">
        <f>'ИДО(Финансы)'!D71</f>
        <v>0</v>
      </c>
      <c r="BG71" s="510" t="str">
        <f t="shared" si="29"/>
        <v>нет</v>
      </c>
      <c r="BH71" s="1519" t="str">
        <f t="shared" si="30"/>
        <v>нет</v>
      </c>
      <c r="BI71" s="1523">
        <f t="array" ref="BI71">IF(($E71="да")+($F71="да"),IF((BF71+AS71)=0,"нет",(AR71+BE71)/(BF71+AS71)*100),"нет")</f>
        <v>258.4194117647059</v>
      </c>
      <c r="BJ71" s="829">
        <f>Кадры!$I71</f>
        <v>0</v>
      </c>
      <c r="BK71" s="940">
        <f>Кадры!$O71</f>
        <v>0</v>
      </c>
      <c r="BL71" s="941">
        <f>Кадры!$K71</f>
        <v>0</v>
      </c>
      <c r="BM71" s="821" t="str">
        <f t="array" ref="BM71">IF(BL71=0,"нет",BK71/BL71*100)</f>
        <v>нет</v>
      </c>
      <c r="BN71" s="923">
        <f>Кадры!E71</f>
        <v>0</v>
      </c>
      <c r="BO71" s="941">
        <f>Кадры!$K71</f>
        <v>0</v>
      </c>
      <c r="BP71" s="343" t="str">
        <f t="shared" si="31"/>
        <v>нет</v>
      </c>
      <c r="BQ71" s="342" t="e">
        <f t="shared" si="32"/>
        <v>#DIV/0!</v>
      </c>
      <c r="BR71" s="940">
        <f>Кадры!$L71</f>
        <v>0</v>
      </c>
      <c r="BS71" s="1544">
        <f>Кадры!$J71</f>
        <v>0</v>
      </c>
      <c r="BT71" s="343">
        <f t="shared" si="33"/>
        <v>0</v>
      </c>
      <c r="BU71" s="817">
        <f t="shared" si="34"/>
        <v>100</v>
      </c>
      <c r="BV71" s="923">
        <f>Кадры!$D71</f>
        <v>0</v>
      </c>
      <c r="BW71" s="919">
        <f>Кадры!$F71</f>
        <v>0</v>
      </c>
      <c r="BX71" s="817" t="e">
        <f t="shared" si="35"/>
        <v>#DIV/0!</v>
      </c>
      <c r="BY71" s="940">
        <f>Кадры!$P71</f>
        <v>0</v>
      </c>
      <c r="BZ71" s="941">
        <f>Кадры!$L71</f>
        <v>0</v>
      </c>
      <c r="CA71" s="342" t="str">
        <f t="shared" si="36"/>
        <v>нет</v>
      </c>
      <c r="CC71" s="505" t="s">
        <v>334</v>
      </c>
      <c r="CD71" s="268"/>
      <c r="CE71" s="961"/>
      <c r="CG71" s="335" t="e">
        <f t="array" ref="CG71">SUM(IF($F71:$CA71=нет,0,IF($F71:$CA71&gt;=$F$16:$CA$16,$F$16:$CA$16,IF($F71:$CA71&lt;$F$17:$CA$17,0,$F71:$CA71)))*$F$11:$CA$11*($F$104:$CA$104=CG$4)/$F$16:$CA$16*($F$106:$CA$115*($B$106:$B$115=$B71)*($A$106:$A$115=$A$104)))</f>
        <v>#DIV/0!</v>
      </c>
      <c r="CH71" s="335" t="e">
        <f t="array" ref="CH71">SUM(IF($F71:$CA71=нет,0,IF($F71:$CA71&gt;=$F$16:$CA$16,$F$16:$CA$16,IF($F71:$CA71&lt;$F$17:$CA$17,0,$F71:$CA71)))*$F$11:$CA$11*($F$104:$CA$104=CH$4)/$F$16:$CA$16*($F$106:$CA$115*($B$106:$B$115=$B71)*($A$106:$A$115=$A$104)))</f>
        <v>#DIV/0!</v>
      </c>
      <c r="CI71" s="335" t="e">
        <f t="array" ref="CI71">SUM(IF($F71:$CA71=нет,0,IF($F71:$CA71&gt;=$F$16:$CA$16,$F$16:$CA$16,IF($F71:$CA71&lt;$F$17:$CA$17,0,$F71:$CA71)))*$F$11:$CA$11*($F$105:$CA$105=CI$4)/$F$16:$CA$16*($F$106:$CA$115*($B$106:$B$115=$B71)*($A$106:$A$115=$A$104)))</f>
        <v>#DIV/0!</v>
      </c>
      <c r="CJ71" s="1072" t="e">
        <f>'НУ(ВИД3)'!D72</f>
        <v>#DIV/0!</v>
      </c>
      <c r="CK71" s="335" t="e">
        <f t="array" ref="CK71">SUM(IF($F71:$CA71=нет,0,IF($F71:$CA71&gt;=$F$16:$CA$16,$F$16:$CA$16,IF($F71:$CA71&lt;$F$17:$CA$17,0,$F71:$CA71)))*$F$11:$CA$11*($F$104:$CA$104=CK$4)/$F$16:$CA$16*($F$106:$CA$115*($B$106:$B$115=$B71)*($A$106:$A$115=$A$104)))</f>
        <v>#DIV/0!</v>
      </c>
      <c r="CL71" s="335" t="e">
        <f t="array" ref="CL71">SUM(IF($F71:$CA71=нет,0,IF($F71:$CA71&gt;=$F$16:$CA$16,$F$16:$CA$16,IF($F71:$CA71&lt;$F$17:$CA$17,0,$F71:$CA71)))*$F$11:$CA$11*($F$104:$CA$104=CL$4)/$F$16:$CA$16*($F$106:$CA$115*($B$106:$B$115=$B71)*($A$106:$A$115=$A$104)))</f>
        <v>#DIV/0!</v>
      </c>
      <c r="CM71" s="335" t="e">
        <f t="array" ref="CM71">SUM(IF($F71:$CA71=нет,0,IF($F71:$CA71&gt;=$F$16:$CA$16,$F$16:$CA$16,IF($F71:$CA71&lt;$F$17:$CA$17,0,$F71:$CA71)))*$F$11:$CA$11*($F$104:$CA$104=CM$4)/$F$16:$CA$16*($F$106:$CA$115*($B$106:$B$115=$B71)*($A$106:$A$115=$A$104)))</f>
        <v>#DIV/0!</v>
      </c>
      <c r="CO71" s="1000" t="e">
        <f t="array" ref="CO71">SUM(IF($F71:$CA71=нет,0,100)*$F$11:$CA$11*($F$104:$CA$104=CO$4)/100*($F$106:$CA$115*($B$106:$B$115=$B71)*($A$106:$A$115=$A$104)))</f>
        <v>#DIV/0!</v>
      </c>
      <c r="CP71" s="1000" t="e">
        <f t="array" ref="CP71">SUM(IF($F71:$CA71=нет,0,100)*$F$11:$CA$11*($F$104:$CA$104=CP$4)/100*($F$106:$CA$115*($B$106:$B$115=$B71)*($A$106:$A$115=$A$104)))</f>
        <v>#DIV/0!</v>
      </c>
      <c r="CQ71" s="1000" t="e">
        <f t="array" ref="CQ71">SUM(IF($F71:$CA71=нет,0,100)*$F$11:$CA$11*($F$105:$CA$105=CQ$4)/100*($F$106:$CA$115*($B$106:$B$115=$B71)*($A$106:$A$115=$A$104)))</f>
        <v>#DIV/0!</v>
      </c>
      <c r="CR71" s="1057">
        <f>'НУ(ВИД3)'!E72</f>
        <v>21</v>
      </c>
      <c r="CS71" s="1000" t="e">
        <f t="array" ref="CS71">SUM(IF($F71:$CA71=нет,0,100)*$F$11:$CA$11*($F$104:$CA$104=CS$4)/100*($F$106:$CA$115*($B$106:$B$115=$B71)*($A$106:$A$115=$A$104)))</f>
        <v>#DIV/0!</v>
      </c>
      <c r="CT71" s="1000" t="e">
        <f t="array" ref="CT71">SUM(IF($F71:$CA71=нет,0,100)*$F$11:$CA$11*($F$104:$CA$104=CT$4)/100*($F$106:$CA$115*($B$106:$B$115=$B71)*($A$106:$A$115=$A$104)))</f>
        <v>#DIV/0!</v>
      </c>
      <c r="CU71" s="1000" t="e">
        <f t="array" ref="CU71">SUM(IF($F71:$CA71=нет,0,100)*$F$11:$CA$11*($F$104:$CA$104=CU$4)/100*($F$106:$CA$115*($B$106:$B$115=$B71)*($A$106:$A$115=$A$104)))</f>
        <v>#DIV/0!</v>
      </c>
      <c r="CW71" s="333" t="e">
        <f>SUM(CG71:CH71,CJ71:CM71,'Реестр ППС'!#REF!,' "Вуз зож"'!S71)</f>
        <v>#REF!</v>
      </c>
      <c r="CX71" s="333" t="e">
        <f>SUM(CO71:CP71,CR71:CU71,'Реестр ППС'!#REF!,' "Вуз зож"'!T71)</f>
        <v>#REF!</v>
      </c>
      <c r="CY71" s="332" t="e">
        <f t="shared" si="96"/>
        <v>#REF!</v>
      </c>
      <c r="DA71" s="336" t="e">
        <f>SUM(CI71:CK71,CM71,'Реестр ППС'!#REF!,' "Вуз зож"'!S71)</f>
        <v>#REF!</v>
      </c>
      <c r="DB71" s="336" t="e">
        <f>SUM(CQ71:CS71,CU71,'Реестр ППС'!#REF!,' "Вуз зож"'!T71)</f>
        <v>#REF!</v>
      </c>
      <c r="DC71" s="332" t="e">
        <f t="shared" si="37"/>
        <v>#REF!</v>
      </c>
      <c r="DD71" s="961"/>
      <c r="DE71" s="337" t="e">
        <f t="shared" si="97"/>
        <v>#DIV/0!</v>
      </c>
      <c r="DF71" s="337" t="e">
        <f t="shared" si="44"/>
        <v>#DIV/0!</v>
      </c>
      <c r="DG71" s="337" t="e">
        <f t="shared" si="45"/>
        <v>#DIV/0!</v>
      </c>
      <c r="DH71" s="337" t="e">
        <f t="shared" si="46"/>
        <v>#DIV/0!</v>
      </c>
      <c r="DI71" s="337" t="e">
        <f t="shared" si="47"/>
        <v>#DIV/0!</v>
      </c>
      <c r="DJ71" s="337" t="e">
        <f t="shared" si="48"/>
        <v>#DIV/0!</v>
      </c>
      <c r="DK71" s="337" t="e">
        <f t="shared" si="49"/>
        <v>#DIV/0!</v>
      </c>
      <c r="DL71" s="334" t="str">
        <f t="shared" si="95"/>
        <v>Психиатрии, медицинской психологии и наркологии с курсом ДПО</v>
      </c>
      <c r="DM71" s="215" t="str">
        <f t="shared" si="94"/>
        <v>КПСИХОЛОГИИ</v>
      </c>
      <c r="DN71" s="1505" t="e">
        <f t="shared" si="38"/>
        <v>#REF!</v>
      </c>
      <c r="DO71" s="338"/>
      <c r="DP71" s="338"/>
      <c r="DQ71" s="338"/>
      <c r="DR71" s="318"/>
      <c r="DS71" s="318"/>
      <c r="DT71" s="318"/>
      <c r="DU71" s="318"/>
      <c r="DV71" s="318"/>
      <c r="DW71" s="318"/>
      <c r="DX71" s="318"/>
    </row>
    <row r="72" spans="1:128" s="215" customFormat="1" ht="15.75" thickBot="1" x14ac:dyDescent="0.25">
      <c r="A72" s="566" t="s">
        <v>416</v>
      </c>
      <c r="B72" s="340" t="s">
        <v>7</v>
      </c>
      <c r="C72" s="564">
        <f>Кадры!C72</f>
        <v>0</v>
      </c>
      <c r="D72" s="2082" t="str">
        <f>CC72</f>
        <v>КПСИХОЛОГИИ</v>
      </c>
      <c r="E72" s="2074" t="s">
        <v>16</v>
      </c>
      <c r="F72" s="341" t="s">
        <v>31</v>
      </c>
      <c r="G72" s="909"/>
      <c r="H72" s="817">
        <f t="shared" si="90"/>
        <v>100</v>
      </c>
      <c r="I72" s="1748"/>
      <c r="J72" s="860">
        <f t="shared" si="91"/>
        <v>100</v>
      </c>
      <c r="K72" s="920">
        <f>МероприятияВуза!$AR72+МероприятияВуза!$AQ72</f>
        <v>0</v>
      </c>
      <c r="L72" s="919">
        <f>МероприятияВуза!$G72+МероприятияВуза!$H72</f>
        <v>0</v>
      </c>
      <c r="M72" s="925" t="str">
        <f t="shared" si="20"/>
        <v>нет</v>
      </c>
      <c r="N72" s="923">
        <f>МероприятияВуза!$AS72</f>
        <v>0</v>
      </c>
      <c r="O72" s="919">
        <f>МероприятияВуза!$I72+МероприятияВуза!$J72</f>
        <v>0</v>
      </c>
      <c r="P72" s="925" t="str">
        <f t="shared" si="21"/>
        <v>нет</v>
      </c>
      <c r="Q72" s="1838"/>
      <c r="R72" s="817">
        <f t="shared" si="22"/>
        <v>100</v>
      </c>
      <c r="S72" s="1847"/>
      <c r="T72" s="1848"/>
      <c r="U72" s="844" t="str">
        <f t="shared" si="23"/>
        <v>нет</v>
      </c>
      <c r="V72" s="904"/>
      <c r="W72" s="909"/>
      <c r="X72" s="844" t="str">
        <f t="shared" si="7"/>
        <v>нет</v>
      </c>
      <c r="Y72" s="1857"/>
      <c r="Z72" s="1858"/>
      <c r="AA72" s="844" t="str">
        <f t="shared" si="8"/>
        <v>нет</v>
      </c>
      <c r="AB72" s="1748"/>
      <c r="AC72" s="909"/>
      <c r="AD72" s="912" t="str">
        <f t="shared" si="24"/>
        <v>нет</v>
      </c>
      <c r="AE72" s="947"/>
      <c r="AF72" s="949"/>
      <c r="AG72" s="844" t="str">
        <f t="shared" si="9"/>
        <v>нет</v>
      </c>
      <c r="AH72" s="951"/>
      <c r="AI72" s="949"/>
      <c r="AJ72" s="844" t="str">
        <f t="shared" si="25"/>
        <v>нет</v>
      </c>
      <c r="AK72" s="935">
        <f>ПрофРабота!$Q72</f>
        <v>0</v>
      </c>
      <c r="AL72" s="485">
        <f>ПрофРабота!$R72</f>
        <v>0</v>
      </c>
      <c r="AM72" s="485">
        <f>ПрофРабота!$S72</f>
        <v>0</v>
      </c>
      <c r="AN72" s="817">
        <f>ПрофРабота!$C72</f>
        <v>0</v>
      </c>
      <c r="AO72" s="923">
        <f>МероприятияВуза!$AT72</f>
        <v>0</v>
      </c>
      <c r="AP72" s="919">
        <f>МероприятияВуза!$K72</f>
        <v>0</v>
      </c>
      <c r="AQ72" s="817" t="str">
        <f t="shared" si="26"/>
        <v>нет</v>
      </c>
      <c r="AR72" s="938">
        <f>'ДПО(Финансы)'!$R72</f>
        <v>0</v>
      </c>
      <c r="AS72" s="939">
        <f>'ДПО(Финансы)'!$D72</f>
        <v>0</v>
      </c>
      <c r="AT72" s="510">
        <f t="shared" si="27"/>
        <v>0</v>
      </c>
      <c r="AU72" s="1519" t="str">
        <f t="shared" si="28"/>
        <v>нет</v>
      </c>
      <c r="AV72" s="938">
        <f>'ДПО(Финансы)'!$R72</f>
        <v>0</v>
      </c>
      <c r="AW72" s="939">
        <f>'ИДО(Финансы)'!$R72</f>
        <v>0</v>
      </c>
      <c r="AX72" s="939">
        <f>'ДПО(Финансы)'!$S72</f>
        <v>0</v>
      </c>
      <c r="AY72" s="939">
        <f>'ИДО(Финансы)'!$S72</f>
        <v>0</v>
      </c>
      <c r="AZ72" s="839" t="e">
        <f t="shared" si="92"/>
        <v>#DIV/0!</v>
      </c>
      <c r="BA72" s="1520" t="str">
        <f t="array" ref="BA72">IF(($E72="да"),IF($AX72=0,"нет",$AV72/$AX72*100-100),"нет")</f>
        <v>нет</v>
      </c>
      <c r="BB72" s="1521" t="str">
        <f t="array" ref="BB72">IF(($E72="да"),IF($AX72=0,"нет",$AV72/$AX72*100),"нет")</f>
        <v>нет</v>
      </c>
      <c r="BC72" s="1522" t="str">
        <f t="shared" si="93"/>
        <v>нет</v>
      </c>
      <c r="BD72" s="1522" t="e">
        <f t="array" ref="BD72">IF(($E72="да"),IF($AZ72&gt;$AZ$17,$AZ72/$AZ$16*BD$16,нет),нет)</f>
        <v>#DIV/0!</v>
      </c>
      <c r="BE72" s="938">
        <f>'ИДО(Финансы)'!$R72</f>
        <v>0</v>
      </c>
      <c r="BF72" s="939">
        <f>'ИДО(Финансы)'!D72</f>
        <v>0</v>
      </c>
      <c r="BG72" s="510" t="str">
        <f t="shared" si="29"/>
        <v>нет</v>
      </c>
      <c r="BH72" s="1519" t="str">
        <f t="shared" si="30"/>
        <v>нет</v>
      </c>
      <c r="BI72" s="1523" t="str">
        <f t="array" ref="BI72">IF(($E72="да")+($F72="да"),IF((BF72+AS72)=0,"нет",(AR72+BE72)/(BF72+AS72)*100),"нет")</f>
        <v>нет</v>
      </c>
      <c r="BJ72" s="829">
        <f>Кадры!$I72</f>
        <v>0</v>
      </c>
      <c r="BK72" s="940">
        <f>Кадры!$O72</f>
        <v>0</v>
      </c>
      <c r="BL72" s="941">
        <f>Кадры!$K72</f>
        <v>0</v>
      </c>
      <c r="BM72" s="821" t="str">
        <f t="array" ref="BM72">IF(BL72=0,"нет",BK72/BL72*100)</f>
        <v>нет</v>
      </c>
      <c r="BN72" s="923">
        <f>Кадры!E72</f>
        <v>0</v>
      </c>
      <c r="BO72" s="941">
        <f>Кадры!$K72</f>
        <v>0</v>
      </c>
      <c r="BP72" s="343" t="str">
        <f t="shared" si="31"/>
        <v>нет</v>
      </c>
      <c r="BQ72" s="342" t="str">
        <f t="shared" ref="BQ72:BQ78" si="98">IF(BN72=0,нет,IF(BJ72/BN72&lt;$BP$17,0,120))</f>
        <v>нет</v>
      </c>
      <c r="BR72" s="940">
        <f>Кадры!$L72</f>
        <v>0</v>
      </c>
      <c r="BS72" s="1544">
        <f>Кадры!$J72</f>
        <v>0</v>
      </c>
      <c r="BT72" s="343">
        <f t="shared" si="33"/>
        <v>0</v>
      </c>
      <c r="BU72" s="817">
        <f t="shared" si="34"/>
        <v>100</v>
      </c>
      <c r="BV72" s="923">
        <f>Кадры!$D72</f>
        <v>0</v>
      </c>
      <c r="BW72" s="919">
        <f>Кадры!$F72</f>
        <v>0</v>
      </c>
      <c r="BX72" s="817" t="e">
        <f t="shared" si="35"/>
        <v>#DIV/0!</v>
      </c>
      <c r="BY72" s="940">
        <f>Кадры!$P72</f>
        <v>0</v>
      </c>
      <c r="BZ72" s="941">
        <f>Кадры!$L72</f>
        <v>0</v>
      </c>
      <c r="CA72" s="342" t="str">
        <f t="shared" si="36"/>
        <v>нет</v>
      </c>
      <c r="CC72" s="505" t="s">
        <v>334</v>
      </c>
      <c r="CD72" s="268"/>
      <c r="CE72" s="961"/>
      <c r="CG72" s="335" t="e">
        <f t="array" ref="CG72">SUM(IF($F72:$CA72=нет,0,IF($F72:$CA72&gt;=$F$16:$CA$16,$F$16:$CA$16,IF($F72:$CA72&lt;$F$17:$CA$17,0,$F72:$CA72)))*$F$11:$CA$11*($F$104:$CA$104=CG$4)/$F$16:$CA$16*($F$106:$CA$115*($B$106:$B$115=$B72)*($A$106:$A$115=$A$104)))</f>
        <v>#DIV/0!</v>
      </c>
      <c r="CH72" s="335" t="e">
        <f t="array" ref="CH72">SUM(IF($F72:$CA72=нет,0,IF($F72:$CA72&gt;=$F$16:$CA$16,$F$16:$CA$16,IF($F72:$CA72&lt;$F$17:$CA$17,0,$F72:$CA72)))*$F$11:$CA$11*($F$104:$CA$104=CH$4)/$F$16:$CA$16*($F$106:$CA$115*($B$106:$B$115=$B72)*($A$106:$A$115=$A$104)))</f>
        <v>#DIV/0!</v>
      </c>
      <c r="CI72" s="335" t="e">
        <f t="array" ref="CI72">SUM(IF($F72:$CA72=нет,0,IF($F72:$CA72&gt;=$F$16:$CA$16,$F$16:$CA$16,IF($F72:$CA72&lt;$F$17:$CA$17,0,$F72:$CA72)))*$F$11:$CA$11*($F$105:$CA$105=CI$4)/$F$16:$CA$16*($F$106:$CA$115*($B$106:$B$115=$B72)*($A$106:$A$115=$A$104)))</f>
        <v>#DIV/0!</v>
      </c>
      <c r="CJ72" s="1072" t="e">
        <f>'НУ(ВИД3)'!D73</f>
        <v>#DIV/0!</v>
      </c>
      <c r="CK72" s="335" t="e">
        <f t="array" ref="CK72">SUM(IF($F72:$CA72=нет,0,IF($F72:$CA72&gt;=$F$16:$CA$16,$F$16:$CA$16,IF($F72:$CA72&lt;$F$17:$CA$17,0,$F72:$CA72)))*$F$11:$CA$11*($F$104:$CA$104=CK$4)/$F$16:$CA$16*($F$106:$CA$115*($B$106:$B$115=$B72)*($A$106:$A$115=$A$104)))</f>
        <v>#DIV/0!</v>
      </c>
      <c r="CL72" s="335" t="e">
        <f t="array" ref="CL72">SUM(IF($F72:$CA72=нет,0,IF($F72:$CA72&gt;=$F$16:$CA$16,$F$16:$CA$16,IF($F72:$CA72&lt;$F$17:$CA$17,0,$F72:$CA72)))*$F$11:$CA$11*($F$104:$CA$104=CL$4)/$F$16:$CA$16*($F$106:$CA$115*($B$106:$B$115=$B72)*($A$106:$A$115=$A$104)))</f>
        <v>#DIV/0!</v>
      </c>
      <c r="CM72" s="335" t="e">
        <f t="array" ref="CM72">SUM(IF($F72:$CA72=нет,0,IF($F72:$CA72&gt;=$F$16:$CA$16,$F$16:$CA$16,IF($F72:$CA72&lt;$F$17:$CA$17,0,$F72:$CA72)))*$F$11:$CA$11*($F$104:$CA$104=CM$4)/$F$16:$CA$16*($F$106:$CA$115*($B$106:$B$115=$B72)*($A$106:$A$115=$A$104)))</f>
        <v>#DIV/0!</v>
      </c>
      <c r="CO72" s="1000" t="e">
        <f t="array" ref="CO72">SUM(IF($F72:$CA72=нет,0,100)*$F$11:$CA$11*($F$104:$CA$104=CO$4)/100*($F$106:$CA$115*($B$106:$B$115=$B72)*($A$106:$A$115=$A$104)))</f>
        <v>#DIV/0!</v>
      </c>
      <c r="CP72" s="1000" t="e">
        <f t="array" ref="CP72">SUM(IF($F72:$CA72=нет,0,100)*$F$11:$CA$11*($F$104:$CA$104=CP$4)/100*($F$106:$CA$115*($B$106:$B$115=$B72)*($A$106:$A$115=$A$104)))</f>
        <v>#DIV/0!</v>
      </c>
      <c r="CQ72" s="1000" t="e">
        <f t="array" ref="CQ72">SUM(IF($F72:$CA72=нет,0,100)*$F$11:$CA$11*($F$105:$CA$105=CQ$4)/100*($F$106:$CA$115*($B$106:$B$115=$B72)*($A$106:$A$115=$A$104)))</f>
        <v>#DIV/0!</v>
      </c>
      <c r="CR72" s="1057">
        <f>'НУ(ВИД3)'!E73</f>
        <v>21</v>
      </c>
      <c r="CS72" s="1000" t="e">
        <f t="array" ref="CS72">SUM(IF($F72:$CA72=нет,0,100)*$F$11:$CA$11*($F$104:$CA$104=CS$4)/100*($F$106:$CA$115*($B$106:$B$115=$B72)*($A$106:$A$115=$A$104)))</f>
        <v>#DIV/0!</v>
      </c>
      <c r="CT72" s="1000" t="e">
        <f t="array" ref="CT72">SUM(IF($F72:$CA72=нет,0,100)*$F$11:$CA$11*($F$104:$CA$104=CT$4)/100*($F$106:$CA$115*($B$106:$B$115=$B72)*($A$106:$A$115=$A$104)))</f>
        <v>#DIV/0!</v>
      </c>
      <c r="CU72" s="1000" t="e">
        <f t="array" ref="CU72">SUM(IF($F72:$CA72=нет,0,100)*$F$11:$CA$11*($F$104:$CA$104=CU$4)/100*($F$106:$CA$115*($B$106:$B$115=$B72)*($A$106:$A$115=$A$104)))</f>
        <v>#DIV/0!</v>
      </c>
      <c r="CW72" s="333" t="e">
        <f>SUM(CG72:CH72,CJ72:CM72,'Реестр ППС'!#REF!,' "Вуз зож"'!S72)</f>
        <v>#REF!</v>
      </c>
      <c r="CX72" s="333" t="e">
        <f>SUM(CO72:CP72,CR72:CU72,'Реестр ППС'!#REF!,' "Вуз зож"'!T72)</f>
        <v>#REF!</v>
      </c>
      <c r="CY72" s="332" t="e">
        <f t="shared" si="96"/>
        <v>#REF!</v>
      </c>
      <c r="DA72" s="336" t="e">
        <f>SUM(CI72:CK72,CM72,'Реестр ППС'!#REF!,' "Вуз зож"'!S72)</f>
        <v>#REF!</v>
      </c>
      <c r="DB72" s="336" t="e">
        <f>SUM(CQ72:CS72,CU72,'Реестр ППС'!#REF!,' "Вуз зож"'!T72)</f>
        <v>#REF!</v>
      </c>
      <c r="DC72" s="332" t="e">
        <f t="shared" si="37"/>
        <v>#REF!</v>
      </c>
      <c r="DD72" s="961"/>
      <c r="DE72" s="337" t="e">
        <f t="shared" si="97"/>
        <v>#DIV/0!</v>
      </c>
      <c r="DF72" s="337" t="e">
        <f t="shared" si="44"/>
        <v>#DIV/0!</v>
      </c>
      <c r="DG72" s="337" t="e">
        <f t="shared" si="45"/>
        <v>#DIV/0!</v>
      </c>
      <c r="DH72" s="337" t="e">
        <f t="shared" si="46"/>
        <v>#DIV/0!</v>
      </c>
      <c r="DI72" s="337" t="e">
        <f t="shared" si="47"/>
        <v>#DIV/0!</v>
      </c>
      <c r="DJ72" s="337" t="e">
        <f t="shared" si="48"/>
        <v>#DIV/0!</v>
      </c>
      <c r="DK72" s="337" t="e">
        <f t="shared" si="49"/>
        <v>#DIV/0!</v>
      </c>
      <c r="DL72" s="334" t="str">
        <f t="shared" si="95"/>
        <v>Философии</v>
      </c>
      <c r="DM72" s="215" t="str">
        <f t="shared" si="94"/>
        <v>КПСИХОЛОГИИ</v>
      </c>
      <c r="DN72" s="1505" t="e">
        <f t="shared" si="38"/>
        <v>#REF!</v>
      </c>
      <c r="DO72" s="338"/>
      <c r="DP72" s="338"/>
      <c r="DQ72" s="338"/>
      <c r="DR72" s="318"/>
      <c r="DS72" s="318"/>
      <c r="DT72" s="318"/>
      <c r="DU72" s="318"/>
      <c r="DV72" s="318"/>
      <c r="DW72" s="318"/>
      <c r="DX72" s="318"/>
    </row>
    <row r="73" spans="1:128" s="907" customFormat="1" ht="15.75" thickBot="1" x14ac:dyDescent="0.25">
      <c r="A73" s="1001" t="s">
        <v>506</v>
      </c>
      <c r="B73" s="974" t="s">
        <v>7</v>
      </c>
      <c r="C73" s="1002">
        <f>Кадры!C73</f>
        <v>0</v>
      </c>
      <c r="D73" s="995" t="str">
        <f>CC73</f>
        <v>КПСИХОЛОГИИ</v>
      </c>
      <c r="E73" s="1004" t="s">
        <v>16</v>
      </c>
      <c r="F73" s="1004" t="s">
        <v>31</v>
      </c>
      <c r="G73" s="1005"/>
      <c r="H73" s="1752">
        <f t="shared" ref="H73" si="99">IF(G73&gt;0,0,100)</f>
        <v>100</v>
      </c>
      <c r="I73" s="1749"/>
      <c r="J73" s="1007">
        <f t="shared" ref="J73" si="100">IF(I73&gt;0,0,100)</f>
        <v>100</v>
      </c>
      <c r="K73" s="1008">
        <f>МероприятияВуза!$AR73+МероприятияВуза!$AQ73</f>
        <v>0</v>
      </c>
      <c r="L73" s="1009">
        <f>МероприятияВуза!$G73+МероприятияВуза!$H73</f>
        <v>0</v>
      </c>
      <c r="M73" s="1010" t="str">
        <f t="shared" ref="M73" si="101">IF((L73&gt;0),K73/L73*100,IF(K73&gt;0,100,нет))</f>
        <v>нет</v>
      </c>
      <c r="N73" s="1011">
        <f>МероприятияВуза!$AS73</f>
        <v>0</v>
      </c>
      <c r="O73" s="1009">
        <f>МероприятияВуза!$I73+МероприятияВуза!$J73</f>
        <v>0</v>
      </c>
      <c r="P73" s="1010" t="str">
        <f t="shared" ref="P73" si="102">IF((O73&gt;0),N73/O73*100,IF(N73&gt;0,100,нет))</f>
        <v>нет</v>
      </c>
      <c r="Q73" s="1841"/>
      <c r="R73" s="817">
        <f t="shared" si="22"/>
        <v>100</v>
      </c>
      <c r="S73" s="1851"/>
      <c r="T73" s="1850"/>
      <c r="U73" s="1013" t="str">
        <f t="shared" ref="U73" si="103">IF(T73=0,"нет",S73/T73*100)</f>
        <v>нет</v>
      </c>
      <c r="V73" s="1012"/>
      <c r="W73" s="1005"/>
      <c r="X73" s="1013" t="str">
        <f t="shared" ref="X73" si="104">IF(W73=0,"нет",V73/W73*100)</f>
        <v>нет</v>
      </c>
      <c r="Y73" s="1861"/>
      <c r="Z73" s="1860"/>
      <c r="AA73" s="1750" t="str">
        <f t="shared" ref="AA73" si="105">IF(Z73=0,"нет",Y73/Z73*100)</f>
        <v>нет</v>
      </c>
      <c r="AB73" s="1749"/>
      <c r="AC73" s="1005"/>
      <c r="AD73" s="1014" t="str">
        <f t="shared" si="24"/>
        <v>нет</v>
      </c>
      <c r="AE73" s="1015"/>
      <c r="AF73" s="1016"/>
      <c r="AG73" s="1013" t="str">
        <f t="shared" ref="AG73" si="106">IF(AF73=0,"нет",AE73/AF73*100)</f>
        <v>нет</v>
      </c>
      <c r="AH73" s="1017"/>
      <c r="AI73" s="1016"/>
      <c r="AJ73" s="1013" t="str">
        <f t="shared" ref="AJ73" si="107">IF(AI73=0,"нет",AH73/AI73*100)</f>
        <v>нет</v>
      </c>
      <c r="AK73" s="1018">
        <f>ПрофРабота!$Q73</f>
        <v>0</v>
      </c>
      <c r="AL73" s="997">
        <f>ПрофРабота!$R73</f>
        <v>0</v>
      </c>
      <c r="AM73" s="997">
        <f>ПрофРабота!$S73</f>
        <v>0</v>
      </c>
      <c r="AN73" s="933">
        <f>ПрофРабота!$C73</f>
        <v>0</v>
      </c>
      <c r="AO73" s="1011">
        <f>МероприятияВуза!$AT73</f>
        <v>0</v>
      </c>
      <c r="AP73" s="1009">
        <f>МероприятияВуза!$K73</f>
        <v>0</v>
      </c>
      <c r="AQ73" s="933" t="str">
        <f t="shared" ref="AQ73" si="108">IF(AP73&lt;&gt;0,AO73/AP73*100,IF(AO73&gt;0,100,нет))</f>
        <v>нет</v>
      </c>
      <c r="AR73" s="1019">
        <f>'ДПО(Финансы)'!$R73</f>
        <v>0</v>
      </c>
      <c r="AS73" s="1020">
        <f>'ДПО(Финансы)'!$D73</f>
        <v>0</v>
      </c>
      <c r="AT73" s="1021">
        <f t="shared" ref="AT73" si="109">IF(($E73="да"),IF(AR73=0,0,AR73/$C73),"нет")</f>
        <v>0</v>
      </c>
      <c r="AU73" s="1524" t="str">
        <f t="shared" ref="AU73" si="110">IF(($E73="да"),IF(AS73=0,"нет",AR73/AS73*100),"нет")</f>
        <v>нет</v>
      </c>
      <c r="AV73" s="1019">
        <f>'ДПО(Финансы)'!$R73</f>
        <v>0</v>
      </c>
      <c r="AW73" s="1020">
        <f>'ИДО(Финансы)'!$R73</f>
        <v>0</v>
      </c>
      <c r="AX73" s="1020">
        <f>'ДПО(Финансы)'!$S73</f>
        <v>0</v>
      </c>
      <c r="AY73" s="1020">
        <f>'ИДО(Финансы)'!$S73</f>
        <v>0</v>
      </c>
      <c r="AZ73" s="1024" t="e">
        <f t="shared" si="92"/>
        <v>#DIV/0!</v>
      </c>
      <c r="BA73" s="1525" t="str">
        <f t="array" ref="BA73">IF(($E73="да"),IF($AX73=0,"нет",$AV73/$AX73*100-100),"нет")</f>
        <v>нет</v>
      </c>
      <c r="BB73" s="1526" t="str">
        <f t="array" ref="BB73">IF(($E73="да"),IF($AX73=0,"нет",$AV73/$AX73*100),"нет")</f>
        <v>нет</v>
      </c>
      <c r="BC73" s="1527" t="str">
        <f t="shared" si="93"/>
        <v>нет</v>
      </c>
      <c r="BD73" s="1527" t="e">
        <f t="array" ref="BD73">IF(($E73="да"),IF($AZ73&gt;$AZ$17,$AZ73/$AZ$16*BD$16,нет),нет)</f>
        <v>#DIV/0!</v>
      </c>
      <c r="BE73" s="1019">
        <f>'ИДО(Финансы)'!$R73</f>
        <v>0</v>
      </c>
      <c r="BF73" s="1020">
        <f>'ИДО(Финансы)'!D73</f>
        <v>0</v>
      </c>
      <c r="BG73" s="1021" t="str">
        <f t="shared" ref="BG73" si="111">IF(($F73="да"),IF(BE73=0,0,BE73/$C73),"нет")</f>
        <v>нет</v>
      </c>
      <c r="BH73" s="1524" t="str">
        <f t="shared" ref="BH73" si="112">IF(($F73="да"),IF(BF73=0,"нет",BE73/BF73*100),"нет")</f>
        <v>нет</v>
      </c>
      <c r="BI73" s="1528" t="str">
        <f t="array" ref="BI73">IF(($E73="да")+($F73="да"),IF((BF73+AS73)=0,"нет",(AR73+BE73)/(BF73+AS73)*100),"нет")</f>
        <v>нет</v>
      </c>
      <c r="BJ73" s="1026">
        <f>Кадры!$I73</f>
        <v>0</v>
      </c>
      <c r="BK73" s="1022">
        <f>Кадры!$O73</f>
        <v>0</v>
      </c>
      <c r="BL73" s="1023">
        <f>Кадры!$K73</f>
        <v>0</v>
      </c>
      <c r="BM73" s="1027" t="str">
        <f t="array" ref="BM73">IF(BL73=0,"нет",BK73/BL73*100)</f>
        <v>нет</v>
      </c>
      <c r="BN73" s="1011">
        <f>Кадры!E73</f>
        <v>0</v>
      </c>
      <c r="BO73" s="1023">
        <f>Кадры!$K73</f>
        <v>0</v>
      </c>
      <c r="BP73" s="1025" t="str">
        <f t="shared" ref="BP73" si="113">IF(BN73=0,нет,BO73/BN73)</f>
        <v>нет</v>
      </c>
      <c r="BQ73" s="342" t="str">
        <f t="shared" si="98"/>
        <v>нет</v>
      </c>
      <c r="BR73" s="1022">
        <f>Кадры!$L73</f>
        <v>0</v>
      </c>
      <c r="BS73" s="1545">
        <f>Кадры!$J73</f>
        <v>0</v>
      </c>
      <c r="BT73" s="1025">
        <f t="shared" ref="BT73" si="114">IF(BS73=0,0,BR73/BS73*100)</f>
        <v>0</v>
      </c>
      <c r="BU73" s="933">
        <f t="shared" ref="BU73" si="115">100-BT73</f>
        <v>100</v>
      </c>
      <c r="BV73" s="1011">
        <f>Кадры!$D73</f>
        <v>0</v>
      </c>
      <c r="BW73" s="1009">
        <f>Кадры!$F73</f>
        <v>0</v>
      </c>
      <c r="BX73" s="933" t="e">
        <f t="shared" ref="BX73" si="116">BW73/BV73*100</f>
        <v>#DIV/0!</v>
      </c>
      <c r="BY73" s="1022">
        <f>Кадры!$P73</f>
        <v>0</v>
      </c>
      <c r="BZ73" s="1023">
        <f>Кадры!$L73</f>
        <v>0</v>
      </c>
      <c r="CA73" s="1006" t="str">
        <f t="shared" ref="CA73" si="117">IF(BZ73=0,"нет",BY73/BZ73*100)</f>
        <v>нет</v>
      </c>
      <c r="CB73" s="215"/>
      <c r="CC73" s="995" t="s">
        <v>334</v>
      </c>
      <c r="CD73" s="268"/>
      <c r="CE73" s="961"/>
      <c r="CF73" s="215"/>
      <c r="CG73" s="1028" t="e">
        <f t="array" ref="CG73">SUM(IF($F73:$CA73=нет,0,IF($F73:$CA73&gt;=$F$16:$CA$16,$F$16:$CA$16,IF($F73:$CA73&lt;$F$17:$CA$17,0,$F73:$CA73)))*$F$11:$CA$11*($F$104:$CA$104=CG$4)/$F$16:$CA$16*($F$106:$CA$115*($B$106:$B$115=$B73)*($A$106:$A$115=$A$104)))</f>
        <v>#DIV/0!</v>
      </c>
      <c r="CH73" s="1028" t="e">
        <f t="array" ref="CH73">SUM(IF($F73:$CA73=нет,0,IF($F73:$CA73&gt;=$F$16:$CA$16,$F$16:$CA$16,IF($F73:$CA73&lt;$F$17:$CA$17,0,$F73:$CA73)))*$F$11:$CA$11*($F$104:$CA$104=CH$4)/$F$16:$CA$16*($F$106:$CA$115*($B$106:$B$115=$B73)*($A$106:$A$115=$A$104)))</f>
        <v>#DIV/0!</v>
      </c>
      <c r="CI73" s="1028" t="e">
        <f t="array" ref="CI73">SUM(IF($F73:$CA73=нет,0,IF($F73:$CA73&gt;=$F$16:$CA$16,$F$16:$CA$16,IF($F73:$CA73&lt;$F$17:$CA$17,0,$F73:$CA73)))*$F$11:$CA$11*($F$105:$CA$105=CI$4)/$F$16:$CA$16*($F$106:$CA$115*($B$106:$B$115=$B73)*($A$106:$A$115=$A$104)))</f>
        <v>#DIV/0!</v>
      </c>
      <c r="CJ73" s="1072" t="e">
        <f>'НУ(ВИД3)'!D74</f>
        <v>#DIV/0!</v>
      </c>
      <c r="CK73" s="1028" t="e">
        <f t="array" ref="CK73">SUM(IF($F73:$CA73=нет,0,IF($F73:$CA73&gt;=$F$16:$CA$16,$F$16:$CA$16,IF($F73:$CA73&lt;$F$17:$CA$17,0,$F73:$CA73)))*$F$11:$CA$11*($F$104:$CA$104=CK$4)/$F$16:$CA$16*($F$106:$CA$115*($B$106:$B$115=$B73)*($A$106:$A$115=$A$104)))</f>
        <v>#DIV/0!</v>
      </c>
      <c r="CL73" s="1028" t="e">
        <f t="array" ref="CL73">SUM(IF($F73:$CA73=нет,0,IF($F73:$CA73&gt;=$F$16:$CA$16,$F$16:$CA$16,IF($F73:$CA73&lt;$F$17:$CA$17,0,$F73:$CA73)))*$F$11:$CA$11*($F$104:$CA$104=CL$4)/$F$16:$CA$16*($F$106:$CA$115*($B$106:$B$115=$B73)*($A$106:$A$115=$A$104)))</f>
        <v>#DIV/0!</v>
      </c>
      <c r="CM73" s="1028" t="e">
        <f t="array" ref="CM73">SUM(IF($F73:$CA73=нет,0,IF($F73:$CA73&gt;=$F$16:$CA$16,$F$16:$CA$16,IF($F73:$CA73&lt;$F$17:$CA$17,0,$F73:$CA73)))*$F$11:$CA$11*($F$104:$CA$104=CM$4)/$F$16:$CA$16*($F$106:$CA$115*($B$106:$B$115=$B73)*($A$106:$A$115=$A$104)))</f>
        <v>#DIV/0!</v>
      </c>
      <c r="CN73" s="215"/>
      <c r="CO73" s="1029" t="e">
        <f t="array" ref="CO73">SUM(IF($F73:$CA73=нет,0,100)*$F$11:$CA$11*($F$104:$CA$104=CO$4)/100*($F$106:$CA$115*($B$106:$B$115=$B73)*($A$106:$A$115=$A$104)))</f>
        <v>#DIV/0!</v>
      </c>
      <c r="CP73" s="1029" t="e">
        <f t="array" ref="CP73">SUM(IF($F73:$CA73=нет,0,100)*$F$11:$CA$11*($F$104:$CA$104=CP$4)/100*($F$106:$CA$115*($B$106:$B$115=$B73)*($A$106:$A$115=$A$104)))</f>
        <v>#DIV/0!</v>
      </c>
      <c r="CQ73" s="1029" t="e">
        <f t="array" ref="CQ73">SUM(IF($F73:$CA73=нет,0,100)*$F$11:$CA$11*($F$105:$CA$105=CQ$4)/100*($F$106:$CA$115*($B$106:$B$115=$B73)*($A$106:$A$115=$A$104)))</f>
        <v>#DIV/0!</v>
      </c>
      <c r="CR73" s="1057">
        <f>'НУ(ВИД3)'!E74</f>
        <v>21</v>
      </c>
      <c r="CS73" s="1029" t="e">
        <f t="array" ref="CS73">SUM(IF($F73:$CA73=нет,0,100)*$F$11:$CA$11*($F$104:$CA$104=CS$4)/100*($F$106:$CA$115*($B$106:$B$115=$B73)*($A$106:$A$115=$A$104)))</f>
        <v>#DIV/0!</v>
      </c>
      <c r="CT73" s="1029" t="e">
        <f t="array" ref="CT73">SUM(IF($F73:$CA73=нет,0,100)*$F$11:$CA$11*($F$104:$CA$104=CT$4)/100*($F$106:$CA$115*($B$106:$B$115=$B73)*($A$106:$A$115=$A$104)))</f>
        <v>#DIV/0!</v>
      </c>
      <c r="CU73" s="1029" t="e">
        <f t="array" ref="CU73">SUM(IF($F73:$CA73=нет,0,100)*$F$11:$CA$11*($F$104:$CA$104=CU$4)/100*($F$106:$CA$115*($B$106:$B$115=$B73)*($A$106:$A$115=$A$104)))</f>
        <v>#DIV/0!</v>
      </c>
      <c r="CV73" s="215"/>
      <c r="CW73" s="1030" t="e">
        <f>SUM(CG73:CH73,CJ73:CM73,'Реестр ППС'!#REF!,' "Вуз зож"'!S73)</f>
        <v>#REF!</v>
      </c>
      <c r="CX73" s="1030" t="e">
        <f>SUM(CO73:CP73,CR73:CU73,'Реестр ППС'!#REF!,' "Вуз зож"'!T73)</f>
        <v>#REF!</v>
      </c>
      <c r="CY73" s="1031" t="e">
        <f t="shared" ref="CY73" si="118">IF(CX73=0,0,CW73/CX73*100)</f>
        <v>#REF!</v>
      </c>
      <c r="CZ73" s="215"/>
      <c r="DA73" s="336" t="e">
        <f>SUM(CI73:CK73,CM73,'Реестр ППС'!#REF!,' "Вуз зож"'!S73)</f>
        <v>#REF!</v>
      </c>
      <c r="DB73" s="336" t="e">
        <f>SUM(CQ73:CS73,CU73,'Реестр ППС'!#REF!,' "Вуз зож"'!T73)</f>
        <v>#REF!</v>
      </c>
      <c r="DC73" s="1031" t="e">
        <f t="shared" ref="DC73" si="119">IF(DB73=0,0,DA73/DB73*100)</f>
        <v>#REF!</v>
      </c>
      <c r="DD73" s="961"/>
      <c r="DE73" s="1032" t="e">
        <f t="shared" si="97"/>
        <v>#DIV/0!</v>
      </c>
      <c r="DF73" s="1032" t="e">
        <f t="shared" si="44"/>
        <v>#DIV/0!</v>
      </c>
      <c r="DG73" s="1032" t="e">
        <f t="shared" si="45"/>
        <v>#DIV/0!</v>
      </c>
      <c r="DH73" s="1032" t="e">
        <f t="shared" si="46"/>
        <v>#DIV/0!</v>
      </c>
      <c r="DI73" s="1032" t="e">
        <f t="shared" si="47"/>
        <v>#DIV/0!</v>
      </c>
      <c r="DJ73" s="1032" t="e">
        <f t="shared" si="48"/>
        <v>#DIV/0!</v>
      </c>
      <c r="DK73" s="1032" t="e">
        <f t="shared" si="49"/>
        <v>#DIV/0!</v>
      </c>
      <c r="DL73" s="334" t="str">
        <f>A73</f>
        <v>Истории</v>
      </c>
      <c r="DM73" s="215" t="str">
        <f t="shared" si="94"/>
        <v>КПСИХОЛОГИИ</v>
      </c>
      <c r="DN73" s="1506" t="e">
        <f t="shared" ref="DN73" si="120">IF(CX73=0,0,TEXT(CW73/CX73*100,"0,0")&amp;"%
="&amp;TEXT(CW73,"0,0")&amp;"/"&amp;TEXT(CX73,"0,0"))</f>
        <v>#REF!</v>
      </c>
      <c r="DO73" s="338"/>
      <c r="DP73" s="338"/>
      <c r="DQ73" s="338"/>
      <c r="DR73" s="318"/>
      <c r="DS73" s="318"/>
      <c r="DT73" s="318"/>
      <c r="DU73" s="318"/>
      <c r="DV73" s="318"/>
      <c r="DW73" s="318"/>
      <c r="DX73" s="318"/>
    </row>
    <row r="74" spans="1:128" s="1055" customFormat="1" ht="15.75" thickBot="1" x14ac:dyDescent="0.25">
      <c r="A74" s="569" t="s">
        <v>115</v>
      </c>
      <c r="B74" s="976" t="s">
        <v>7</v>
      </c>
      <c r="C74" s="565">
        <f>Кадры!C74</f>
        <v>0</v>
      </c>
      <c r="D74" s="969" t="str">
        <f t="shared" si="19"/>
        <v>ФИС</v>
      </c>
      <c r="E74" s="568" t="s">
        <v>16</v>
      </c>
      <c r="F74" s="568" t="s">
        <v>31</v>
      </c>
      <c r="G74" s="576"/>
      <c r="H74" s="934">
        <f t="shared" si="90"/>
        <v>100</v>
      </c>
      <c r="I74" s="1836"/>
      <c r="J74" s="1034">
        <f t="shared" si="91"/>
        <v>100</v>
      </c>
      <c r="K74" s="1035">
        <f>МероприятияВуза!$AR74+МероприятияВуза!$AQ74</f>
        <v>0</v>
      </c>
      <c r="L74" s="1036">
        <f>МероприятияВуза!$G74+МероприятияВуза!$H74</f>
        <v>0</v>
      </c>
      <c r="M74" s="1037" t="str">
        <f t="shared" si="20"/>
        <v>нет</v>
      </c>
      <c r="N74" s="1038">
        <f>МероприятияВуза!$AS74</f>
        <v>0</v>
      </c>
      <c r="O74" s="1036">
        <f>МероприятияВуза!$I74+МероприятияВуза!$J74</f>
        <v>0</v>
      </c>
      <c r="P74" s="1037" t="str">
        <f t="shared" si="21"/>
        <v>нет</v>
      </c>
      <c r="Q74" s="1843"/>
      <c r="R74" s="817">
        <f t="shared" si="22"/>
        <v>100</v>
      </c>
      <c r="S74" s="1852"/>
      <c r="T74" s="1845"/>
      <c r="U74" s="908" t="str">
        <f t="shared" si="23"/>
        <v>нет</v>
      </c>
      <c r="V74" s="1039"/>
      <c r="W74" s="576"/>
      <c r="X74" s="908" t="str">
        <f t="shared" si="7"/>
        <v>нет</v>
      </c>
      <c r="Y74" s="1862"/>
      <c r="Z74" s="1855"/>
      <c r="AA74" s="908" t="str">
        <f t="shared" si="8"/>
        <v>нет</v>
      </c>
      <c r="AB74" s="1039"/>
      <c r="AC74" s="576"/>
      <c r="AD74" s="908" t="str">
        <f t="shared" si="24"/>
        <v>нет</v>
      </c>
      <c r="AE74" s="1041"/>
      <c r="AF74" s="1042"/>
      <c r="AG74" s="908" t="str">
        <f t="shared" si="9"/>
        <v>нет</v>
      </c>
      <c r="AH74" s="1043"/>
      <c r="AI74" s="1042"/>
      <c r="AJ74" s="908" t="str">
        <f t="shared" si="25"/>
        <v>нет</v>
      </c>
      <c r="AK74" s="1044">
        <f>ПрофРабота!$Q74</f>
        <v>0</v>
      </c>
      <c r="AL74" s="577">
        <f>ПрофРабота!$R74</f>
        <v>0</v>
      </c>
      <c r="AM74" s="577">
        <f>ПрофРабота!$S74</f>
        <v>0</v>
      </c>
      <c r="AN74" s="934">
        <f>ПрофРабота!$C74</f>
        <v>0</v>
      </c>
      <c r="AO74" s="1038">
        <f>МероприятияВуза!$AT74</f>
        <v>0</v>
      </c>
      <c r="AP74" s="1036">
        <f>МероприятияВуза!$K74</f>
        <v>0</v>
      </c>
      <c r="AQ74" s="934" t="str">
        <f t="shared" si="26"/>
        <v>нет</v>
      </c>
      <c r="AR74" s="1045">
        <f>'ДПО(Финансы)'!$R74</f>
        <v>0</v>
      </c>
      <c r="AS74" s="1046">
        <f>'ДПО(Финансы)'!$D74</f>
        <v>0</v>
      </c>
      <c r="AT74" s="1047">
        <f t="shared" si="27"/>
        <v>0</v>
      </c>
      <c r="AU74" s="1514" t="str">
        <f t="shared" si="28"/>
        <v>нет</v>
      </c>
      <c r="AV74" s="1045">
        <f>'ДПО(Финансы)'!$R74</f>
        <v>0</v>
      </c>
      <c r="AW74" s="1046">
        <f>'ИДО(Финансы)'!$R74</f>
        <v>195800</v>
      </c>
      <c r="AX74" s="1046">
        <f>'ДПО(Финансы)'!$S74</f>
        <v>0</v>
      </c>
      <c r="AY74" s="1046">
        <f>'ИДО(Финансы)'!$S74</f>
        <v>252500</v>
      </c>
      <c r="AZ74" s="1049" t="e">
        <f t="shared" si="92"/>
        <v>#DIV/0!</v>
      </c>
      <c r="BA74" s="1515" t="str">
        <f t="array" ref="BA74">IF(($E74="да"),IF($AX74=0,"нет",$AV74/$AX74*100-100),"нет")</f>
        <v>нет</v>
      </c>
      <c r="BB74" s="1516" t="str">
        <f t="array" ref="BB74">IF(($E74="да"),IF($AX74=0,"нет",$AV74/$AX74*100),"нет")</f>
        <v>нет</v>
      </c>
      <c r="BC74" s="1517" t="str">
        <f t="shared" si="93"/>
        <v>нет</v>
      </c>
      <c r="BD74" s="1517" t="e">
        <f t="array" ref="BD74">IF(($E74="да"),IF($AZ74&gt;$AZ$17,$AZ74/$AZ$16*BD$16,нет),нет)</f>
        <v>#DIV/0!</v>
      </c>
      <c r="BE74" s="1045">
        <f>'ИДО(Финансы)'!$R74</f>
        <v>195800</v>
      </c>
      <c r="BF74" s="1046">
        <f>'ИДО(Финансы)'!D74</f>
        <v>195800</v>
      </c>
      <c r="BG74" s="1047" t="str">
        <f t="shared" si="29"/>
        <v>нет</v>
      </c>
      <c r="BH74" s="1514" t="str">
        <f t="shared" si="30"/>
        <v>нет</v>
      </c>
      <c r="BI74" s="1518">
        <f t="array" ref="BI74">IF(($E74="да")+($F74="да"),IF((BF74+AS74)=0,"нет",(AR74+BE74)/(BF74+AS74)*100),"нет")</f>
        <v>100</v>
      </c>
      <c r="BJ74" s="1051">
        <f>Кадры!$I74</f>
        <v>0</v>
      </c>
      <c r="BK74" s="1048">
        <f>Кадры!$O74</f>
        <v>0</v>
      </c>
      <c r="BL74" s="943">
        <f>Кадры!$K74</f>
        <v>0</v>
      </c>
      <c r="BM74" s="1052" t="str">
        <f t="array" ref="BM74">IF(BL74=0,"нет",BK74/BL74*100)</f>
        <v>нет</v>
      </c>
      <c r="BN74" s="1038">
        <f>Кадры!E74</f>
        <v>0</v>
      </c>
      <c r="BO74" s="943">
        <f>Кадры!$K74</f>
        <v>0</v>
      </c>
      <c r="BP74" s="1050" t="str">
        <f t="shared" si="31"/>
        <v>нет</v>
      </c>
      <c r="BQ74" s="342" t="str">
        <f t="shared" si="98"/>
        <v>нет</v>
      </c>
      <c r="BR74" s="1048">
        <f>Кадры!$L74</f>
        <v>0</v>
      </c>
      <c r="BS74" s="1543">
        <f>Кадры!$J74</f>
        <v>0</v>
      </c>
      <c r="BT74" s="1050">
        <f t="shared" si="33"/>
        <v>0</v>
      </c>
      <c r="BU74" s="934">
        <f t="shared" si="34"/>
        <v>100</v>
      </c>
      <c r="BV74" s="1038">
        <f>Кадры!$D74</f>
        <v>0</v>
      </c>
      <c r="BW74" s="1036">
        <f>Кадры!$F74</f>
        <v>0</v>
      </c>
      <c r="BX74" s="934" t="e">
        <f t="shared" si="35"/>
        <v>#DIV/0!</v>
      </c>
      <c r="BY74" s="1048">
        <f>Кадры!$P74</f>
        <v>0</v>
      </c>
      <c r="BZ74" s="943">
        <f>Кадры!$L74</f>
        <v>0</v>
      </c>
      <c r="CA74" s="1033" t="str">
        <f t="shared" si="36"/>
        <v>нет</v>
      </c>
      <c r="CB74" s="215"/>
      <c r="CC74" s="969" t="s">
        <v>117</v>
      </c>
      <c r="CD74" s="1053"/>
      <c r="CE74" s="1054"/>
      <c r="CG74" s="1056" t="e">
        <f t="array" ref="CG74">SUM(IF($F74:$CA74=нет,0,IF($F74:$CA74&gt;=$F$16:$CA$16,$F$16:$CA$16,IF($F74:$CA74&lt;$F$17:$CA$17,0,$F74:$CA74)))*$F$11:$CA$11*($F$104:$CA$104=CG$4)/$F$16:$CA$16*($F$106:$CA$115*($B$106:$B$115=$B74)*($A$106:$A$115=$A$104)))</f>
        <v>#DIV/0!</v>
      </c>
      <c r="CH74" s="1056" t="e">
        <f t="array" ref="CH74">SUM(IF($F74:$CA74=нет,0,IF($F74:$CA74&gt;=$F$16:$CA$16,$F$16:$CA$16,IF($F74:$CA74&lt;$F$17:$CA$17,0,$F74:$CA74)))*$F$11:$CA$11*($F$104:$CA$104=CH$4)/$F$16:$CA$16*($F$106:$CA$115*($B$106:$B$115=$B74)*($A$106:$A$115=$A$104)))</f>
        <v>#DIV/0!</v>
      </c>
      <c r="CI74" s="1056" t="e">
        <f t="array" ref="CI74">SUM(IF($F74:$CA74=нет,0,IF($F74:$CA74&gt;=$F$16:$CA$16,$F$16:$CA$16,IF($F74:$CA74&lt;$F$17:$CA$17,0,$F74:$CA74)))*$F$11:$CA$11*($F$105:$CA$105=CI$4)/$F$16:$CA$16*($F$106:$CA$115*($B$106:$B$115=$B74)*($A$106:$A$115=$A$104)))</f>
        <v>#DIV/0!</v>
      </c>
      <c r="CJ74" s="1072" t="e">
        <f>'НУ(ВИД3)'!D75</f>
        <v>#DIV/0!</v>
      </c>
      <c r="CK74" s="1056" t="e">
        <f t="array" ref="CK74">SUM(IF($F74:$CA74=нет,0,IF($F74:$CA74&gt;=$F$16:$CA$16,$F$16:$CA$16,IF($F74:$CA74&lt;$F$17:$CA$17,0,$F74:$CA74)))*$F$11:$CA$11*($F$104:$CA$104=CK$4)/$F$16:$CA$16*($F$106:$CA$115*($B$106:$B$115=$B74)*($A$106:$A$115=$A$104)))</f>
        <v>#DIV/0!</v>
      </c>
      <c r="CL74" s="1056" t="e">
        <f t="array" ref="CL74">SUM(IF($F74:$CA74=нет,0,IF($F74:$CA74&gt;=$F$16:$CA$16,$F$16:$CA$16,IF($F74:$CA74&lt;$F$17:$CA$17,0,$F74:$CA74)))*$F$11:$CA$11*($F$104:$CA$104=CL$4)/$F$16:$CA$16*($F$106:$CA$115*($B$106:$B$115=$B74)*($A$106:$A$115=$A$104)))</f>
        <v>#DIV/0!</v>
      </c>
      <c r="CM74" s="1056" t="e">
        <f t="array" ref="CM74">SUM(IF($F74:$CA74=нет,0,IF($F74:$CA74&gt;=$F$16:$CA$16,$F$16:$CA$16,IF($F74:$CA74&lt;$F$17:$CA$17,0,$F74:$CA74)))*$F$11:$CA$11*($F$104:$CA$104=CM$4)/$F$16:$CA$16*($F$106:$CA$115*($B$106:$B$115=$B74)*($A$106:$A$115=$A$104)))</f>
        <v>#DIV/0!</v>
      </c>
      <c r="CO74" s="1057" t="e">
        <f t="array" ref="CO74">SUM(IF($F74:$CA74=нет,0,100)*$F$11:$CA$11*($F$104:$CA$104=CO$4)/100*($F$106:$CA$115*($B$106:$B$115=$B74)*($A$106:$A$115=$A$104)))</f>
        <v>#DIV/0!</v>
      </c>
      <c r="CP74" s="1057" t="e">
        <f t="array" ref="CP74">SUM(IF($F74:$CA74=нет,0,100)*$F$11:$CA$11*($F$104:$CA$104=CP$4)/100*($F$106:$CA$115*($B$106:$B$115=$B74)*($A$106:$A$115=$A$104)))</f>
        <v>#DIV/0!</v>
      </c>
      <c r="CQ74" s="1057" t="e">
        <f t="array" ref="CQ74">SUM(IF($F74:$CA74=нет,0,100)*$F$11:$CA$11*($F$105:$CA$105=CQ$4)/100*($F$106:$CA$115*($B$106:$B$115=$B74)*($A$106:$A$115=$A$104)))</f>
        <v>#DIV/0!</v>
      </c>
      <c r="CR74" s="1057">
        <f>'НУ(ВИД3)'!E75</f>
        <v>21</v>
      </c>
      <c r="CS74" s="1057" t="e">
        <f t="array" ref="CS74">SUM(IF($F74:$CA74=нет,0,100)*$F$11:$CA$11*($F$104:$CA$104=CS$4)/100*($F$106:$CA$115*($B$106:$B$115=$B74)*($A$106:$A$115=$A$104)))</f>
        <v>#DIV/0!</v>
      </c>
      <c r="CT74" s="1057" t="e">
        <f t="array" ref="CT74">SUM(IF($F74:$CA74=нет,0,100)*$F$11:$CA$11*($F$104:$CA$104=CT$4)/100*($F$106:$CA$115*($B$106:$B$115=$B74)*($A$106:$A$115=$A$104)))</f>
        <v>#DIV/0!</v>
      </c>
      <c r="CU74" s="1057" t="e">
        <f t="array" ref="CU74">SUM(IF($F74:$CA74=нет,0,100)*$F$11:$CA$11*($F$104:$CA$104=CU$4)/100*($F$106:$CA$115*($B$106:$B$115=$B74)*($A$106:$A$115=$A$104)))</f>
        <v>#DIV/0!</v>
      </c>
      <c r="CW74" s="1059" t="e">
        <f>SUM(CG74:CH74,CJ74:CM74,'Реестр ППС'!#REF!,' "Вуз зож"'!S74)</f>
        <v>#REF!</v>
      </c>
      <c r="CX74" s="1059" t="e">
        <f>SUM(CO74:CP74,CR74:CU74,'Реестр ППС'!#REF!,' "Вуз зож"'!T74)</f>
        <v>#REF!</v>
      </c>
      <c r="CY74" s="1058" t="e">
        <f t="shared" si="96"/>
        <v>#REF!</v>
      </c>
      <c r="DA74" s="1060" t="e">
        <f>SUM(CI74:CK74,CM74,'Реестр ППС'!#REF!,' "Вуз зож"'!S74)</f>
        <v>#REF!</v>
      </c>
      <c r="DB74" s="1060" t="e">
        <f>SUM(CQ74:CS74,CU74,'Реестр ППС'!#REF!,' "Вуз зож"'!T74)</f>
        <v>#REF!</v>
      </c>
      <c r="DC74" s="1058" t="e">
        <f t="shared" si="37"/>
        <v>#REF!</v>
      </c>
      <c r="DD74" s="1054"/>
      <c r="DE74" s="1061" t="e">
        <f t="shared" si="97"/>
        <v>#DIV/0!</v>
      </c>
      <c r="DF74" s="1061" t="e">
        <f t="shared" si="44"/>
        <v>#DIV/0!</v>
      </c>
      <c r="DG74" s="1061" t="e">
        <f t="shared" si="45"/>
        <v>#DIV/0!</v>
      </c>
      <c r="DH74" s="1061" t="e">
        <f t="shared" si="46"/>
        <v>#DIV/0!</v>
      </c>
      <c r="DI74" s="1061" t="e">
        <f t="shared" si="47"/>
        <v>#DIV/0!</v>
      </c>
      <c r="DJ74" s="1061" t="e">
        <f t="shared" si="48"/>
        <v>#DIV/0!</v>
      </c>
      <c r="DK74" s="1061" t="e">
        <f t="shared" si="49"/>
        <v>#DIV/0!</v>
      </c>
      <c r="DL74" s="1062" t="str">
        <f>A74</f>
        <v>Иностранных языков с курсом латинского языка</v>
      </c>
      <c r="DM74" s="1055" t="str">
        <f t="shared" si="94"/>
        <v>ФИС</v>
      </c>
      <c r="DN74" s="1504" t="e">
        <f t="shared" si="38"/>
        <v>#REF!</v>
      </c>
      <c r="DO74" s="338"/>
      <c r="DP74" s="338"/>
      <c r="DQ74" s="338"/>
      <c r="DR74" s="318"/>
      <c r="DS74" s="318"/>
      <c r="DT74" s="318"/>
      <c r="DU74" s="318"/>
      <c r="DV74" s="318"/>
      <c r="DW74" s="318"/>
      <c r="DX74" s="318"/>
    </row>
    <row r="75" spans="1:128" s="215" customFormat="1" ht="15.75" thickBot="1" x14ac:dyDescent="0.25">
      <c r="A75" s="1001" t="s">
        <v>116</v>
      </c>
      <c r="B75" s="974" t="s">
        <v>7</v>
      </c>
      <c r="C75" s="1002">
        <f>Кадры!C75</f>
        <v>0</v>
      </c>
      <c r="D75" s="1003" t="str">
        <f t="shared" si="19"/>
        <v>ФИС</v>
      </c>
      <c r="E75" s="1004" t="s">
        <v>16</v>
      </c>
      <c r="F75" s="1004" t="s">
        <v>31</v>
      </c>
      <c r="G75" s="1005"/>
      <c r="H75" s="1752">
        <f t="shared" si="90"/>
        <v>100</v>
      </c>
      <c r="I75" s="1749"/>
      <c r="J75" s="1007">
        <f t="shared" si="91"/>
        <v>100</v>
      </c>
      <c r="K75" s="1008">
        <f>МероприятияВуза!$AR75+МероприятияВуза!$AQ75</f>
        <v>0</v>
      </c>
      <c r="L75" s="1009">
        <f>МероприятияВуза!$G75+МероприятияВуза!$H75</f>
        <v>0</v>
      </c>
      <c r="M75" s="1010" t="str">
        <f t="shared" si="20"/>
        <v>нет</v>
      </c>
      <c r="N75" s="1011">
        <f>МероприятияВуза!$AS75</f>
        <v>0</v>
      </c>
      <c r="O75" s="1009">
        <f>МероприятияВуза!$I75+МероприятияВуза!$J75</f>
        <v>0</v>
      </c>
      <c r="P75" s="1010" t="str">
        <f t="shared" si="21"/>
        <v>нет</v>
      </c>
      <c r="Q75" s="1841"/>
      <c r="R75" s="817">
        <f t="shared" si="22"/>
        <v>100</v>
      </c>
      <c r="S75" s="1851"/>
      <c r="T75" s="1850"/>
      <c r="U75" s="1013" t="str">
        <f t="shared" si="23"/>
        <v>нет</v>
      </c>
      <c r="V75" s="1012"/>
      <c r="W75" s="1005"/>
      <c r="X75" s="1013" t="str">
        <f t="shared" si="7"/>
        <v>нет</v>
      </c>
      <c r="Y75" s="1861"/>
      <c r="Z75" s="1860"/>
      <c r="AA75" s="1750" t="str">
        <f t="shared" si="8"/>
        <v>нет</v>
      </c>
      <c r="AB75" s="1749"/>
      <c r="AC75" s="1005"/>
      <c r="AD75" s="1014" t="str">
        <f t="shared" si="24"/>
        <v>нет</v>
      </c>
      <c r="AE75" s="1015"/>
      <c r="AF75" s="1016"/>
      <c r="AG75" s="1013" t="str">
        <f t="shared" si="9"/>
        <v>нет</v>
      </c>
      <c r="AH75" s="1017"/>
      <c r="AI75" s="1016"/>
      <c r="AJ75" s="1013" t="str">
        <f t="shared" si="25"/>
        <v>нет</v>
      </c>
      <c r="AK75" s="1018">
        <f>ПрофРабота!$Q75</f>
        <v>0</v>
      </c>
      <c r="AL75" s="997">
        <f>ПрофРабота!$R75</f>
        <v>0</v>
      </c>
      <c r="AM75" s="997">
        <f>ПрофРабота!$S75</f>
        <v>0</v>
      </c>
      <c r="AN75" s="933">
        <f>ПрофРабота!$C75</f>
        <v>0</v>
      </c>
      <c r="AO75" s="1011">
        <f>МероприятияВуза!$AT75</f>
        <v>0</v>
      </c>
      <c r="AP75" s="1009">
        <f>МероприятияВуза!$K75</f>
        <v>0</v>
      </c>
      <c r="AQ75" s="933" t="str">
        <f t="shared" si="26"/>
        <v>нет</v>
      </c>
      <c r="AR75" s="1019">
        <f>'ДПО(Финансы)'!$R75</f>
        <v>0</v>
      </c>
      <c r="AS75" s="1020">
        <f>'ДПО(Финансы)'!$D75</f>
        <v>0</v>
      </c>
      <c r="AT75" s="1021">
        <f t="shared" si="27"/>
        <v>0</v>
      </c>
      <c r="AU75" s="1524" t="str">
        <f t="shared" si="28"/>
        <v>нет</v>
      </c>
      <c r="AV75" s="1019">
        <f>'ДПО(Финансы)'!$R75</f>
        <v>0</v>
      </c>
      <c r="AW75" s="1020">
        <f>'ИДО(Финансы)'!$R75</f>
        <v>28800</v>
      </c>
      <c r="AX75" s="1020">
        <f>'ДПО(Финансы)'!$S75</f>
        <v>0</v>
      </c>
      <c r="AY75" s="1020">
        <f>'ИДО(Финансы)'!$S75</f>
        <v>59400</v>
      </c>
      <c r="AZ75" s="1024" t="e">
        <f t="shared" si="92"/>
        <v>#DIV/0!</v>
      </c>
      <c r="BA75" s="1525" t="str">
        <f t="array" ref="BA75">IF(($E75="да"),IF($AX75=0,"нет",$AV75/$AX75*100-100),"нет")</f>
        <v>нет</v>
      </c>
      <c r="BB75" s="1526" t="str">
        <f t="array" ref="BB75">IF(($E75="да"),IF($AX75=0,"нет",$AV75/$AX75*100),"нет")</f>
        <v>нет</v>
      </c>
      <c r="BC75" s="1527" t="str">
        <f t="shared" si="93"/>
        <v>нет</v>
      </c>
      <c r="BD75" s="1527" t="e">
        <f t="array" ref="BD75">IF(($E75="да"),IF($AZ75&gt;$AZ$17,$AZ75/$AZ$16*BD$16,нет),нет)</f>
        <v>#DIV/0!</v>
      </c>
      <c r="BE75" s="1019">
        <f>'ИДО(Финансы)'!$R75</f>
        <v>28800</v>
      </c>
      <c r="BF75" s="1020">
        <f>'ИДО(Финансы)'!D75</f>
        <v>28800</v>
      </c>
      <c r="BG75" s="1021" t="str">
        <f t="shared" si="29"/>
        <v>нет</v>
      </c>
      <c r="BH75" s="1524" t="str">
        <f t="shared" si="30"/>
        <v>нет</v>
      </c>
      <c r="BI75" s="1528">
        <f t="array" ref="BI75">IF(($E75="да")+($F75="да"),IF((BF75+AS75)=0,"нет",(AR75+BE75)/(BF75+AS75)*100),"нет")</f>
        <v>100</v>
      </c>
      <c r="BJ75" s="1026">
        <f>Кадры!$I75</f>
        <v>0</v>
      </c>
      <c r="BK75" s="1022">
        <f>Кадры!$O75</f>
        <v>0</v>
      </c>
      <c r="BL75" s="1023">
        <f>Кадры!$K75</f>
        <v>0</v>
      </c>
      <c r="BM75" s="1027" t="str">
        <f t="array" ref="BM75">IF(BL75=0,"нет",BK75/BL75*100)</f>
        <v>нет</v>
      </c>
      <c r="BN75" s="1011">
        <f>Кадры!E75</f>
        <v>0</v>
      </c>
      <c r="BO75" s="1023">
        <f>Кадры!$K75</f>
        <v>0</v>
      </c>
      <c r="BP75" s="1025" t="str">
        <f t="shared" si="31"/>
        <v>нет</v>
      </c>
      <c r="BQ75" s="342">
        <v>120</v>
      </c>
      <c r="BR75" s="1022">
        <f>Кадры!$L75</f>
        <v>0</v>
      </c>
      <c r="BS75" s="1545">
        <f>Кадры!$J75</f>
        <v>0</v>
      </c>
      <c r="BT75" s="1025">
        <f t="shared" si="33"/>
        <v>0</v>
      </c>
      <c r="BU75" s="933">
        <f t="shared" si="34"/>
        <v>100</v>
      </c>
      <c r="BV75" s="1011">
        <f>Кадры!$D75</f>
        <v>0</v>
      </c>
      <c r="BW75" s="1009">
        <f>Кадры!$F75</f>
        <v>0</v>
      </c>
      <c r="BX75" s="933" t="e">
        <f t="shared" si="35"/>
        <v>#DIV/0!</v>
      </c>
      <c r="BY75" s="1022">
        <f>Кадры!$P75</f>
        <v>0</v>
      </c>
      <c r="BZ75" s="1023">
        <f>Кадры!$L75</f>
        <v>0</v>
      </c>
      <c r="CA75" s="1006" t="str">
        <f t="shared" si="36"/>
        <v>нет</v>
      </c>
      <c r="CC75" s="1003" t="s">
        <v>117</v>
      </c>
      <c r="CD75" s="268"/>
      <c r="CE75" s="961"/>
      <c r="CG75" s="1028" t="e">
        <f t="array" ref="CG75">SUM(IF($F75:$CA75=нет,0,IF($F75:$CA75&gt;=$F$16:$CA$16,$F$16:$CA$16,IF($F75:$CA75&lt;$F$17:$CA$17,0,$F75:$CA75)))*$F$11:$CA$11*($F$104:$CA$104=CG$4)/$F$16:$CA$16*($F$106:$CA$115*($B$106:$B$115=$B75)*($A$106:$A$115=$A$104)))</f>
        <v>#DIV/0!</v>
      </c>
      <c r="CH75" s="1028" t="e">
        <f t="array" ref="CH75">SUM(IF($F75:$CA75=нет,0,IF($F75:$CA75&gt;=$F$16:$CA$16,$F$16:$CA$16,IF($F75:$CA75&lt;$F$17:$CA$17,0,$F75:$CA75)))*$F$11:$CA$11*($F$104:$CA$104=CH$4)/$F$16:$CA$16*($F$106:$CA$115*($B$106:$B$115=$B75)*($A$106:$A$115=$A$104)))</f>
        <v>#DIV/0!</v>
      </c>
      <c r="CI75" s="1028" t="e">
        <f t="array" ref="CI75">SUM(IF($F75:$CA75=нет,0,IF($F75:$CA75&gt;=$F$16:$CA$16,$F$16:$CA$16,IF($F75:$CA75&lt;$F$17:$CA$17,0,$F75:$CA75)))*$F$11:$CA$11*($F$105:$CA$105=CI$4)/$F$16:$CA$16*($F$106:$CA$115*($B$106:$B$115=$B75)*($A$106:$A$115=$A$104)))</f>
        <v>#DIV/0!</v>
      </c>
      <c r="CJ75" s="1072" t="e">
        <f>'НУ(ВИД3)'!D76</f>
        <v>#DIV/0!</v>
      </c>
      <c r="CK75" s="1028" t="e">
        <f t="array" ref="CK75">SUM(IF($F75:$CA75=нет,0,IF($F75:$CA75&gt;=$F$16:$CA$16,$F$16:$CA$16,IF($F75:$CA75&lt;$F$17:$CA$17,0,$F75:$CA75)))*$F$11:$CA$11*($F$104:$CA$104=CK$4)/$F$16:$CA$16*($F$106:$CA$115*($B$106:$B$115=$B75)*($A$106:$A$115=$A$104)))</f>
        <v>#DIV/0!</v>
      </c>
      <c r="CL75" s="1028" t="e">
        <f t="array" ref="CL75">SUM(IF($F75:$CA75=нет,0,IF($F75:$CA75&gt;=$F$16:$CA$16,$F$16:$CA$16,IF($F75:$CA75&lt;$F$17:$CA$17,0,$F75:$CA75)))*$F$11:$CA$11*($F$104:$CA$104=CL$4)/$F$16:$CA$16*($F$106:$CA$115*($B$106:$B$115=$B75)*($A$106:$A$115=$A$104)))</f>
        <v>#DIV/0!</v>
      </c>
      <c r="CM75" s="1028" t="e">
        <f t="array" ref="CM75">SUM(IF($F75:$CA75=нет,0,IF($F75:$CA75&gt;=$F$16:$CA$16,$F$16:$CA$16,IF($F75:$CA75&lt;$F$17:$CA$17,0,$F75:$CA75)))*$F$11:$CA$11*($F$104:$CA$104=CM$4)/$F$16:$CA$16*($F$106:$CA$115*($B$106:$B$115=$B75)*($A$106:$A$115=$A$104)))</f>
        <v>#DIV/0!</v>
      </c>
      <c r="CO75" s="1029" t="e">
        <f t="array" ref="CO75">SUM(IF($F75:$CA75=нет,0,100)*$F$11:$CA$11*($F$104:$CA$104=CO$4)/100*($F$106:$CA$115*($B$106:$B$115=$B75)*($A$106:$A$115=$A$104)))</f>
        <v>#DIV/0!</v>
      </c>
      <c r="CP75" s="1029" t="e">
        <f t="array" ref="CP75">SUM(IF($F75:$CA75=нет,0,100)*$F$11:$CA$11*($F$104:$CA$104=CP$4)/100*($F$106:$CA$115*($B$106:$B$115=$B75)*($A$106:$A$115=$A$104)))</f>
        <v>#DIV/0!</v>
      </c>
      <c r="CQ75" s="1029" t="e">
        <f t="array" ref="CQ75">SUM(IF($F75:$CA75=нет,0,100)*$F$11:$CA$11*($F$105:$CA$105=CQ$4)/100*($F$106:$CA$115*($B$106:$B$115=$B75)*($A$106:$A$115=$A$104)))</f>
        <v>#DIV/0!</v>
      </c>
      <c r="CR75" s="1057">
        <f>'НУ(ВИД3)'!E76</f>
        <v>21</v>
      </c>
      <c r="CS75" s="1029" t="e">
        <f t="array" ref="CS75">SUM(IF($F75:$CA75=нет,0,100)*$F$11:$CA$11*($F$104:$CA$104=CS$4)/100*($F$106:$CA$115*($B$106:$B$115=$B75)*($A$106:$A$115=$A$104)))</f>
        <v>#DIV/0!</v>
      </c>
      <c r="CT75" s="1029" t="e">
        <f t="array" ref="CT75">SUM(IF($F75:$CA75=нет,0,100)*$F$11:$CA$11*($F$104:$CA$104=CT$4)/100*($F$106:$CA$115*($B$106:$B$115=$B75)*($A$106:$A$115=$A$104)))</f>
        <v>#DIV/0!</v>
      </c>
      <c r="CU75" s="1029" t="e">
        <f t="array" ref="CU75">SUM(IF($F75:$CA75=нет,0,100)*$F$11:$CA$11*($F$104:$CA$104=CU$4)/100*($F$106:$CA$115*($B$106:$B$115=$B75)*($A$106:$A$115=$A$104)))</f>
        <v>#DIV/0!</v>
      </c>
      <c r="CW75" s="1030" t="e">
        <f>SUM(CG75:CH75,CJ75:CM75,'Реестр ППС'!#REF!,' "Вуз зож"'!S75)</f>
        <v>#REF!</v>
      </c>
      <c r="CX75" s="1030" t="e">
        <f>SUM(CO75:CP75,CR75:CU75,'Реестр ППС'!#REF!,' "Вуз зож"'!T75)</f>
        <v>#REF!</v>
      </c>
      <c r="CY75" s="1031" t="e">
        <f t="shared" si="96"/>
        <v>#REF!</v>
      </c>
      <c r="DA75" s="336" t="e">
        <f>SUM(CI75:CK75,CM75,'Реестр ППС'!#REF!,' "Вуз зож"'!S75)</f>
        <v>#REF!</v>
      </c>
      <c r="DB75" s="336" t="e">
        <f>SUM(CQ75:CS75,CU75,'Реестр ППС'!#REF!,' "Вуз зож"'!T75)</f>
        <v>#REF!</v>
      </c>
      <c r="DC75" s="1031" t="e">
        <f t="shared" si="37"/>
        <v>#REF!</v>
      </c>
      <c r="DD75" s="961"/>
      <c r="DE75" s="1032" t="e">
        <f t="shared" si="97"/>
        <v>#DIV/0!</v>
      </c>
      <c r="DF75" s="1032" t="e">
        <f t="shared" si="44"/>
        <v>#DIV/0!</v>
      </c>
      <c r="DG75" s="1032" t="e">
        <f t="shared" si="45"/>
        <v>#DIV/0!</v>
      </c>
      <c r="DH75" s="1032" t="e">
        <f t="shared" si="46"/>
        <v>#DIV/0!</v>
      </c>
      <c r="DI75" s="1032" t="e">
        <f t="shared" si="47"/>
        <v>#DIV/0!</v>
      </c>
      <c r="DJ75" s="1032" t="e">
        <f t="shared" si="48"/>
        <v>#DIV/0!</v>
      </c>
      <c r="DK75" s="1032" t="e">
        <f t="shared" si="49"/>
        <v>#DIV/0!</v>
      </c>
      <c r="DL75" s="334" t="str">
        <f>A75</f>
        <v>Русского языка как иностранного</v>
      </c>
      <c r="DM75" s="215" t="str">
        <f t="shared" si="94"/>
        <v>ФИС</v>
      </c>
      <c r="DN75" s="1506" t="e">
        <f t="shared" si="38"/>
        <v>#REF!</v>
      </c>
      <c r="DO75" s="338"/>
      <c r="DP75" s="338"/>
      <c r="DQ75" s="338"/>
      <c r="DR75" s="318"/>
      <c r="DS75" s="318"/>
      <c r="DT75" s="318"/>
      <c r="DU75" s="318"/>
      <c r="DV75" s="318"/>
      <c r="DW75" s="318"/>
      <c r="DX75" s="318"/>
    </row>
    <row r="76" spans="1:128" s="371" customFormat="1" ht="15.75" thickBot="1" x14ac:dyDescent="0.25">
      <c r="A76" s="808" t="s">
        <v>501</v>
      </c>
      <c r="B76" s="976" t="s">
        <v>7</v>
      </c>
      <c r="C76" s="565">
        <f>Кадры!C76</f>
        <v>0</v>
      </c>
      <c r="D76" s="993" t="str">
        <f>CC76</f>
        <v>ОиДПО</v>
      </c>
      <c r="E76" s="568" t="s">
        <v>16</v>
      </c>
      <c r="F76" s="568" t="s">
        <v>31</v>
      </c>
      <c r="G76" s="576"/>
      <c r="H76" s="934">
        <f t="shared" ref="H76:H77" si="121">IF(G76&gt;0,0,100)</f>
        <v>100</v>
      </c>
      <c r="I76" s="1836"/>
      <c r="J76" s="1034">
        <f t="shared" ref="J76:J77" si="122">IF(I76&gt;0,0,100)</f>
        <v>100</v>
      </c>
      <c r="K76" s="1035">
        <f>МероприятияВуза!$AR76+МероприятияВуза!$AQ76</f>
        <v>0</v>
      </c>
      <c r="L76" s="1036">
        <f>МероприятияВуза!$G76+МероприятияВуза!$H76</f>
        <v>0</v>
      </c>
      <c r="M76" s="1037" t="str">
        <f t="shared" ref="M76:M77" si="123">IF((L76&gt;0),K76/L76*100,IF(K76&gt;0,100,нет))</f>
        <v>нет</v>
      </c>
      <c r="N76" s="1038">
        <f>МероприятияВуза!$AS76</f>
        <v>0</v>
      </c>
      <c r="O76" s="1036">
        <f>МероприятияВуза!$I76+МероприятияВуза!$J76</f>
        <v>0</v>
      </c>
      <c r="P76" s="1037" t="str">
        <f t="shared" ref="P76:P77" si="124">IF((O76&gt;0),N76/O76*100,IF(N76&gt;0,100,нет))</f>
        <v>нет</v>
      </c>
      <c r="Q76" s="1843"/>
      <c r="R76" s="817">
        <f t="shared" si="22"/>
        <v>100</v>
      </c>
      <c r="S76" s="1852"/>
      <c r="T76" s="1845"/>
      <c r="U76" s="908" t="str">
        <f t="shared" ref="U76:U77" si="125">IF(T76=0,"нет",S76/T76*100)</f>
        <v>нет</v>
      </c>
      <c r="V76" s="1039"/>
      <c r="W76" s="576"/>
      <c r="X76" s="908" t="str">
        <f t="shared" ref="X76:X77" si="126">IF(W76=0,"нет",V76/W76*100)</f>
        <v>нет</v>
      </c>
      <c r="Y76" s="1862"/>
      <c r="Z76" s="1855"/>
      <c r="AA76" s="908" t="str">
        <f t="shared" ref="AA76:AA77" si="127">IF(Z76=0,"нет",Y76/Z76*100)</f>
        <v>нет</v>
      </c>
      <c r="AB76" s="1039"/>
      <c r="AC76" s="576"/>
      <c r="AD76" s="1040" t="str">
        <f t="shared" si="24"/>
        <v>нет</v>
      </c>
      <c r="AE76" s="1041"/>
      <c r="AF76" s="1042"/>
      <c r="AG76" s="908" t="str">
        <f t="shared" ref="AG76:AG77" si="128">IF(AF76=0,"нет",AE76/AF76*100)</f>
        <v>нет</v>
      </c>
      <c r="AH76" s="1043"/>
      <c r="AI76" s="1042"/>
      <c r="AJ76" s="908" t="str">
        <f t="shared" ref="AJ76:AJ77" si="129">IF(AI76=0,"нет",AH76/AI76*100)</f>
        <v>нет</v>
      </c>
      <c r="AK76" s="1044">
        <f>ПрофРабота!$Q76</f>
        <v>0</v>
      </c>
      <c r="AL76" s="577">
        <f>ПрофРабота!$R76</f>
        <v>0</v>
      </c>
      <c r="AM76" s="577">
        <f>ПрофРабота!$S76</f>
        <v>0</v>
      </c>
      <c r="AN76" s="934" t="str">
        <f t="shared" ref="AN76" si="130">IF(AM76&lt;&gt;0,AL76/AM76*100,IF(AL76&gt;0,100,нет))</f>
        <v>нет</v>
      </c>
      <c r="AO76" s="1038">
        <f>МероприятияВуза!$AT76</f>
        <v>0</v>
      </c>
      <c r="AP76" s="1036">
        <f>МероприятияВуза!$K76</f>
        <v>0</v>
      </c>
      <c r="AQ76" s="934" t="str">
        <f t="shared" ref="AQ76:AQ78" si="131">IF(AP76&lt;&gt;0,AO76/AP76*100,IF(AO76&gt;0,100,нет))</f>
        <v>нет</v>
      </c>
      <c r="AR76" s="1045">
        <f>'ДПО(Финансы)'!$R76</f>
        <v>0</v>
      </c>
      <c r="AS76" s="1046">
        <f>'ДПО(Финансы)'!$D76</f>
        <v>0</v>
      </c>
      <c r="AT76" s="1047">
        <f t="shared" ref="AT76:AT77" si="132">IF(($E76="да"),IF(AR76=0,0,AR76/$C76),"нет")</f>
        <v>0</v>
      </c>
      <c r="AU76" s="1514" t="str">
        <f t="shared" ref="AU76:AU77" si="133">IF(($E76="да"),IF(AS76=0,"нет",AR76/AS76*100),"нет")</f>
        <v>нет</v>
      </c>
      <c r="AV76" s="1045">
        <f>'ДПО(Финансы)'!$R76</f>
        <v>0</v>
      </c>
      <c r="AW76" s="1046">
        <f>'ИДО(Финансы)'!$R76</f>
        <v>0</v>
      </c>
      <c r="AX76" s="1046">
        <f>'ДПО(Финансы)'!$S76</f>
        <v>0</v>
      </c>
      <c r="AY76" s="1046">
        <f>'ИДО(Финансы)'!$S76</f>
        <v>0</v>
      </c>
      <c r="AZ76" s="1049">
        <f>IF(AV76+AW76=0,0,(AV76+AW76)/$C76)</f>
        <v>0</v>
      </c>
      <c r="BA76" s="1515" t="str">
        <f t="array" ref="BA76">IF(($E76="да"),IF($AX76=0,"нет",$AV76/$AX76*100-100),"нет")</f>
        <v>нет</v>
      </c>
      <c r="BB76" s="1516" t="str">
        <f t="array" ref="BB76">IF(($E76="да"),IF($AX76=0,"нет",$AV76/$AX76*100),"нет")</f>
        <v>нет</v>
      </c>
      <c r="BC76" s="1517" t="str">
        <f t="shared" si="93"/>
        <v>нет</v>
      </c>
      <c r="BD76" s="1517" t="e">
        <f t="array" ref="BD76">IF(($E76="да"),IF($AZ76&gt;$AZ$17,$AZ76/$AZ$16*BD$16,нет),нет)</f>
        <v>#DIV/0!</v>
      </c>
      <c r="BE76" s="1045">
        <f>'ИДО(Финансы)'!$R76</f>
        <v>0</v>
      </c>
      <c r="BF76" s="1046">
        <f>'ИДО(Финансы)'!D76</f>
        <v>0</v>
      </c>
      <c r="BG76" s="1047" t="str">
        <f t="shared" ref="BG76:BG77" si="134">IF(($F76="да"),IF(BE76=0,0,BE76/$C76),"нет")</f>
        <v>нет</v>
      </c>
      <c r="BH76" s="1514" t="str">
        <f t="shared" ref="BH76:BH77" si="135">IF(($F76="да"),IF(BF76=0,"нет",BE76/BF76*100),"нет")</f>
        <v>нет</v>
      </c>
      <c r="BI76" s="1518" t="str">
        <f t="array" ref="BI76">IF(($E76="да")+($F76="да"),IF((BF76+AS76)=0,"нет",(AR76+BE76)/(BF76+AS76)*100),"нет")</f>
        <v>нет</v>
      </c>
      <c r="BJ76" s="1051">
        <f>Кадры!$I76</f>
        <v>0</v>
      </c>
      <c r="BK76" s="1048">
        <f>Кадры!$O76</f>
        <v>0</v>
      </c>
      <c r="BL76" s="943">
        <f>Кадры!$K76</f>
        <v>0</v>
      </c>
      <c r="BM76" s="1052" t="str">
        <f t="array" ref="BM76">IF(BL76=0,"нет",BK76/BL76*100)</f>
        <v>нет</v>
      </c>
      <c r="BN76" s="1038">
        <f>Кадры!E76</f>
        <v>0</v>
      </c>
      <c r="BO76" s="943">
        <f>Кадры!$K76</f>
        <v>0</v>
      </c>
      <c r="BP76" s="1050" t="str">
        <f t="shared" ref="BP76" si="136">IF(BN76=0,нет,BO76/BN76)</f>
        <v>нет</v>
      </c>
      <c r="BQ76" s="342" t="str">
        <f t="shared" si="98"/>
        <v>нет</v>
      </c>
      <c r="BR76" s="1048">
        <f>Кадры!$L76</f>
        <v>0</v>
      </c>
      <c r="BS76" s="1543">
        <f>Кадры!$J76</f>
        <v>0</v>
      </c>
      <c r="BT76" s="1050">
        <f t="shared" ref="BT76" si="137">IF(BS76=0,0,BR76/BS76*100)</f>
        <v>0</v>
      </c>
      <c r="BU76" s="934">
        <f t="shared" ref="BU76" si="138">100-BT76</f>
        <v>100</v>
      </c>
      <c r="BV76" s="1038">
        <f>Кадры!$D76</f>
        <v>0</v>
      </c>
      <c r="BW76" s="1036">
        <f>Кадры!$F76</f>
        <v>0</v>
      </c>
      <c r="BX76" s="934" t="e">
        <f t="shared" si="35"/>
        <v>#DIV/0!</v>
      </c>
      <c r="BY76" s="1048">
        <f>Кадры!$P76</f>
        <v>0</v>
      </c>
      <c r="BZ76" s="943">
        <f>Кадры!$L76</f>
        <v>0</v>
      </c>
      <c r="CA76" s="1033" t="str">
        <f t="shared" ref="CA76" si="139">IF(BZ76=0,"нет",BY76/BZ76*100)</f>
        <v>нет</v>
      </c>
      <c r="CB76" s="215"/>
      <c r="CC76" s="990" t="s">
        <v>510</v>
      </c>
      <c r="CD76" s="1053"/>
      <c r="CE76" s="1054"/>
      <c r="CF76" s="1055"/>
      <c r="CG76" s="1056" t="e">
        <f t="array" ref="CG76">SUM(IF($F76:$CA76=нет,0,IF($F76:$CA76&gt;=$F$16:$CA$16,$F$16:$CA$16,IF($F76:$CA76&lt;$F$17:$CA$17,0,$F76:$CA76)))*$F$11:$CA$11*($F$104:$CA$104=CG$4)/$F$16:$CA$16*($F$106:$CA$115*($B$106:$B$115=$B76)*($A$106:$A$115=$A$104)))</f>
        <v>#DIV/0!</v>
      </c>
      <c r="CH76" s="1056" t="e">
        <f t="array" ref="CH76">SUM(IF($F76:$CA76=нет,0,IF($F76:$CA76&gt;=$F$16:$CA$16,$F$16:$CA$16,IF($F76:$CA76&lt;$F$17:$CA$17,0,$F76:$CA76)))*$F$11:$CA$11*($F$104:$CA$104=CH$4)/$F$16:$CA$16*($F$106:$CA$115*($B$106:$B$115=$B76)*($A$106:$A$115=$A$104)))</f>
        <v>#DIV/0!</v>
      </c>
      <c r="CI76" s="1056" t="e">
        <f t="array" ref="CI76">SUM(IF($F76:$CA76=нет,0,IF($F76:$CA76&gt;=$F$16:$CA$16,$F$16:$CA$16,IF($F76:$CA76&lt;$F$17:$CA$17,0,$F76:$CA76)))*$F$11:$CA$11*($F$105:$CA$105=CI$4)/$F$16:$CA$16*($F$106:$CA$115*($B$106:$B$115=$B76)*($A$106:$A$115=$A$104)))</f>
        <v>#DIV/0!</v>
      </c>
      <c r="CJ76" s="1072">
        <f>'НУ(ВИД3)'!D77</f>
        <v>0</v>
      </c>
      <c r="CK76" s="1056" t="e">
        <f t="array" ref="CK76">SUM(IF($F76:$CA76=нет,0,IF($F76:$CA76&gt;=$F$16:$CA$16,$F$16:$CA$16,IF($F76:$CA76&lt;$F$17:$CA$17,0,$F76:$CA76)))*$F$11:$CA$11*($F$104:$CA$104=CK$4)/$F$16:$CA$16*($F$106:$CA$115*($B$106:$B$115=$B76)*($A$106:$A$115=$A$104)))</f>
        <v>#DIV/0!</v>
      </c>
      <c r="CL76" s="1056" t="e">
        <f t="array" ref="CL76">SUM(IF($F76:$CA76=нет,0,IF($F76:$CA76&gt;=$F$16:$CA$16,$F$16:$CA$16,IF($F76:$CA76&lt;$F$17:$CA$17,0,$F76:$CA76)))*$F$11:$CA$11*($F$104:$CA$104=CL$4)/$F$16:$CA$16*($F$106:$CA$115*($B$106:$B$115=$B76)*($A$106:$A$115=$A$104)))</f>
        <v>#DIV/0!</v>
      </c>
      <c r="CM76" s="1056" t="e">
        <f t="array" ref="CM76">SUM(IF($F76:$CA76=нет,0,IF($F76:$CA76&gt;=$F$16:$CA$16,$F$16:$CA$16,IF($F76:$CA76&lt;$F$17:$CA$17,0,$F76:$CA76)))*$F$11:$CA$11*($F$104:$CA$104=CM$4)/$F$16:$CA$16*($F$106:$CA$115*($B$106:$B$115=$B76)*($A$106:$A$115=$A$104)))</f>
        <v>#DIV/0!</v>
      </c>
      <c r="CN76" s="1055"/>
      <c r="CO76" s="1057" t="e">
        <f t="array" ref="CO76">SUM(IF($F76:$CA76=нет,0,100)*$F$11:$CA$11*($F$104:$CA$104=CO$4)/100*($F$106:$CA$115*($B$106:$B$115=$B76)*($A$106:$A$115=$A$104)))</f>
        <v>#DIV/0!</v>
      </c>
      <c r="CP76" s="1057" t="e">
        <f t="array" ref="CP76">SUM(IF($F76:$CA76=нет,0,100)*$F$11:$CA$11*($F$104:$CA$104=CP$4)/100*($F$106:$CA$115*($B$106:$B$115=$B76)*($A$106:$A$115=$A$104)))</f>
        <v>#DIV/0!</v>
      </c>
      <c r="CQ76" s="1057" t="e">
        <f t="array" ref="CQ76">SUM(IF($F76:$CA76=нет,0,100)*$F$11:$CA$11*($F$105:$CA$105=CQ$4)/100*($F$106:$CA$115*($B$106:$B$115=$B76)*($A$106:$A$115=$A$104)))</f>
        <v>#DIV/0!</v>
      </c>
      <c r="CR76" s="1057">
        <f>'НУ(ВИД3)'!E77</f>
        <v>21</v>
      </c>
      <c r="CS76" s="1057" t="e">
        <f t="array" ref="CS76">SUM(IF($F76:$CA76=нет,0,100)*$F$11:$CA$11*($F$104:$CA$104=CS$4)/100*($F$106:$CA$115*($B$106:$B$115=$B76)*($A$106:$A$115=$A$104)))</f>
        <v>#DIV/0!</v>
      </c>
      <c r="CT76" s="1057" t="e">
        <f t="array" ref="CT76">SUM(IF($F76:$CA76=нет,0,100)*$F$11:$CA$11*($F$104:$CA$104=CT$4)/100*($F$106:$CA$115*($B$106:$B$115=$B76)*($A$106:$A$115=$A$104)))</f>
        <v>#DIV/0!</v>
      </c>
      <c r="CU76" s="1057" t="e">
        <f t="array" ref="CU76">SUM(IF($F76:$CA76=нет,0,100)*$F$11:$CA$11*($F$104:$CA$104=CU$4)/100*($F$106:$CA$115*($B$106:$B$115=$B76)*($A$106:$A$115=$A$104)))</f>
        <v>#DIV/0!</v>
      </c>
      <c r="CV76" s="1055"/>
      <c r="CW76" s="1058" t="e">
        <f>SUM(CG76:CH76,CJ76:CM76,'Реестр ППС'!#REF!,' "Вуз зож"'!S76)</f>
        <v>#REF!</v>
      </c>
      <c r="CX76" s="1059" t="e">
        <f>SUM(CO76:CP76,CR76:CU76,'Реестр ППС'!#REF!,' "Вуз зож"'!T76)</f>
        <v>#REF!</v>
      </c>
      <c r="CY76" s="1058" t="e">
        <f t="shared" ref="CY76:CY77" si="140">IF(CX76=0,0,CW76/CX76*100)</f>
        <v>#REF!</v>
      </c>
      <c r="CZ76" s="1055"/>
      <c r="DA76" s="1060" t="e">
        <f>SUM(CI76:CK76,CM76,'Реестр ППС'!#REF!,' "Вуз зож"'!S76)</f>
        <v>#REF!</v>
      </c>
      <c r="DB76" s="1060" t="e">
        <f>SUM(CQ76:CS76,CU76,'Реестр ППС'!#REF!,' "Вуз зож"'!T76)</f>
        <v>#REF!</v>
      </c>
      <c r="DC76" s="1058" t="e">
        <f t="shared" ref="DC76:DC77" si="141">IF(DB76=0,0,DA76/DB76*100)</f>
        <v>#REF!</v>
      </c>
      <c r="DD76" s="1054"/>
      <c r="DE76" s="1061" t="e">
        <f t="shared" si="97"/>
        <v>#DIV/0!</v>
      </c>
      <c r="DF76" s="1061" t="e">
        <f t="shared" si="44"/>
        <v>#DIV/0!</v>
      </c>
      <c r="DG76" s="1061" t="e">
        <f t="shared" si="45"/>
        <v>#DIV/0!</v>
      </c>
      <c r="DH76" s="1061" t="str">
        <f t="shared" si="46"/>
        <v>0,0%
=0,0/21,0</v>
      </c>
      <c r="DI76" s="1061" t="e">
        <f t="shared" si="47"/>
        <v>#DIV/0!</v>
      </c>
      <c r="DJ76" s="1061" t="e">
        <f t="shared" si="48"/>
        <v>#DIV/0!</v>
      </c>
      <c r="DK76" s="1061" t="e">
        <f t="shared" si="49"/>
        <v>#DIV/0!</v>
      </c>
      <c r="DL76" s="1062" t="str">
        <f>A76</f>
        <v>Травматологии, ортопедии и вертебрологии</v>
      </c>
      <c r="DM76" s="1055" t="str">
        <f t="shared" si="94"/>
        <v>ОиДПО</v>
      </c>
      <c r="DN76" s="1504" t="e">
        <f t="shared" ref="DN76:DN77" si="142">IF(CX76=0,0,TEXT(CW76/CX76*100,"0,0")&amp;"%
="&amp;TEXT(CW76,"0,0")&amp;"/"&amp;TEXT(CX76,"0,0"))</f>
        <v>#REF!</v>
      </c>
      <c r="DO76" s="338"/>
      <c r="DP76" s="338"/>
      <c r="DQ76" s="338"/>
      <c r="DR76" s="253"/>
      <c r="DS76" s="253"/>
      <c r="DT76" s="253"/>
      <c r="DU76" s="253"/>
      <c r="DV76" s="253"/>
      <c r="DW76" s="253"/>
      <c r="DX76" s="253"/>
    </row>
    <row r="77" spans="1:128" ht="15.75" thickBot="1" x14ac:dyDescent="0.25">
      <c r="A77" s="1001" t="s">
        <v>502</v>
      </c>
      <c r="B77" s="974" t="s">
        <v>7</v>
      </c>
      <c r="C77" s="1002">
        <f>Кадры!C77</f>
        <v>0</v>
      </c>
      <c r="D77" s="994" t="str">
        <f>CC77</f>
        <v>ОиДПО</v>
      </c>
      <c r="E77" s="1004" t="s">
        <v>16</v>
      </c>
      <c r="F77" s="1004" t="s">
        <v>31</v>
      </c>
      <c r="G77" s="1005"/>
      <c r="H77" s="1752">
        <f t="shared" si="121"/>
        <v>100</v>
      </c>
      <c r="I77" s="1749"/>
      <c r="J77" s="1007">
        <f t="shared" si="122"/>
        <v>100</v>
      </c>
      <c r="K77" s="1008">
        <f>МероприятияВуза!$AR77+МероприятияВуза!$AQ77</f>
        <v>0</v>
      </c>
      <c r="L77" s="1009">
        <f>МероприятияВуза!$G77+МероприятияВуза!$H77</f>
        <v>0</v>
      </c>
      <c r="M77" s="1010" t="str">
        <f t="shared" si="123"/>
        <v>нет</v>
      </c>
      <c r="N77" s="1011">
        <f>МероприятияВуза!$AS77</f>
        <v>0</v>
      </c>
      <c r="O77" s="1009">
        <f>МероприятияВуза!$I77+МероприятияВуза!$J77</f>
        <v>0</v>
      </c>
      <c r="P77" s="1010" t="str">
        <f t="shared" si="124"/>
        <v>нет</v>
      </c>
      <c r="Q77" s="1841"/>
      <c r="R77" s="817">
        <f t="shared" si="22"/>
        <v>100</v>
      </c>
      <c r="S77" s="1851"/>
      <c r="T77" s="1850"/>
      <c r="U77" s="1013" t="str">
        <f t="shared" si="125"/>
        <v>нет</v>
      </c>
      <c r="V77" s="1012"/>
      <c r="W77" s="1005"/>
      <c r="X77" s="1013" t="str">
        <f t="shared" si="126"/>
        <v>нет</v>
      </c>
      <c r="Y77" s="1861"/>
      <c r="Z77" s="1860"/>
      <c r="AA77" s="1750" t="str">
        <f t="shared" si="127"/>
        <v>нет</v>
      </c>
      <c r="AB77" s="1749"/>
      <c r="AC77" s="1005"/>
      <c r="AD77" s="1014" t="str">
        <f t="shared" si="24"/>
        <v>нет</v>
      </c>
      <c r="AE77" s="1015"/>
      <c r="AF77" s="1016"/>
      <c r="AG77" s="1013" t="str">
        <f t="shared" si="128"/>
        <v>нет</v>
      </c>
      <c r="AH77" s="1017"/>
      <c r="AI77" s="1016"/>
      <c r="AJ77" s="1013" t="str">
        <f t="shared" si="129"/>
        <v>нет</v>
      </c>
      <c r="AK77" s="1018">
        <f>ПрофРабота!$Q77</f>
        <v>0</v>
      </c>
      <c r="AL77" s="997">
        <f>ПрофРабота!$R77</f>
        <v>0</v>
      </c>
      <c r="AM77" s="997">
        <f>ПрофРабота!$S77</f>
        <v>0</v>
      </c>
      <c r="AN77" s="933">
        <f>ПрофРабота!$C77</f>
        <v>0</v>
      </c>
      <c r="AO77" s="1011">
        <f>МероприятияВуза!$AT77</f>
        <v>0</v>
      </c>
      <c r="AP77" s="1009">
        <f>МероприятияВуза!$K77</f>
        <v>0</v>
      </c>
      <c r="AQ77" s="933" t="str">
        <f t="shared" si="131"/>
        <v>нет</v>
      </c>
      <c r="AR77" s="1019">
        <f>'ДПО(Финансы)'!$R77</f>
        <v>85140</v>
      </c>
      <c r="AS77" s="1020">
        <f>'ДПО(Финансы)'!$D77</f>
        <v>50000</v>
      </c>
      <c r="AT77" s="1021" t="e">
        <f t="shared" si="132"/>
        <v>#DIV/0!</v>
      </c>
      <c r="AU77" s="1524">
        <f t="shared" si="133"/>
        <v>170.28</v>
      </c>
      <c r="AV77" s="1019">
        <f>'ДПО(Финансы)'!$R77</f>
        <v>85140</v>
      </c>
      <c r="AW77" s="1020">
        <f>'ИДО(Финансы)'!$R77</f>
        <v>0</v>
      </c>
      <c r="AX77" s="1020">
        <f>'ДПО(Финансы)'!$S77</f>
        <v>119100</v>
      </c>
      <c r="AY77" s="1020">
        <f>'ИДО(Финансы)'!$S77</f>
        <v>0</v>
      </c>
      <c r="AZ77" s="1024" t="e">
        <f>(AV77+AW77)/$C77</f>
        <v>#DIV/0!</v>
      </c>
      <c r="BA77" s="1525">
        <f t="array" ref="BA77">IF(($E77="да"),IF($AX77=0,"нет",$AV77/$AX77*100-100),"нет")</f>
        <v>-28.513853904282115</v>
      </c>
      <c r="BB77" s="1526">
        <f t="array" ref="BB77">IF(($E77="да"),IF($AX77=0,"нет",$AV77/$AX77*100),"нет")</f>
        <v>71.486146095717885</v>
      </c>
      <c r="BC77" s="1527">
        <f t="shared" si="93"/>
        <v>170.28</v>
      </c>
      <c r="BD77" s="1527" t="e">
        <f t="array" ref="BD77">IF(($E77="да"),IF($AZ77&gt;$AZ$17,$AZ77/$AZ$16*BD$16,нет),нет)</f>
        <v>#DIV/0!</v>
      </c>
      <c r="BE77" s="1019">
        <f>'ИДО(Финансы)'!$R77</f>
        <v>0</v>
      </c>
      <c r="BF77" s="1020">
        <f>'ИДО(Финансы)'!D77</f>
        <v>0</v>
      </c>
      <c r="BG77" s="1021" t="str">
        <f t="shared" si="134"/>
        <v>нет</v>
      </c>
      <c r="BH77" s="1524" t="str">
        <f t="shared" si="135"/>
        <v>нет</v>
      </c>
      <c r="BI77" s="1528">
        <f t="array" ref="BI77">IF(($E77="да")+($F77="да"),IF((BF77+AS77)=0,"нет",(AR77+BE77)/(BF77+AS77)*100),"нет")</f>
        <v>170.28</v>
      </c>
      <c r="BJ77" s="1026">
        <f>Кадры!$I77</f>
        <v>0</v>
      </c>
      <c r="BK77" s="1022">
        <f>Кадры!$O77</f>
        <v>0</v>
      </c>
      <c r="BL77" s="1023">
        <f>Кадры!$K77</f>
        <v>0</v>
      </c>
      <c r="BM77" s="1027" t="str">
        <f t="array" ref="BM77">IF(BL77=0,"нет",BK77/BL77*100)</f>
        <v>нет</v>
      </c>
      <c r="BN77" s="1011">
        <f>Кадры!E77</f>
        <v>0</v>
      </c>
      <c r="BO77" s="1023">
        <f>Кадры!$K77</f>
        <v>0</v>
      </c>
      <c r="BP77" s="1025" t="str">
        <f t="shared" ref="BP77" si="143">IF(BN77=0,нет,BO77/BN77)</f>
        <v>нет</v>
      </c>
      <c r="BQ77" s="342" t="str">
        <f t="shared" si="98"/>
        <v>нет</v>
      </c>
      <c r="BR77" s="1022">
        <f>Кадры!$L77</f>
        <v>0</v>
      </c>
      <c r="BS77" s="1545">
        <f>Кадры!$J77</f>
        <v>0</v>
      </c>
      <c r="BT77" s="1025">
        <f t="shared" ref="BT77" si="144">IF(BS77=0,0,BR77/BS77*100)</f>
        <v>0</v>
      </c>
      <c r="BU77" s="933">
        <f t="shared" ref="BU77" si="145">100-BT77</f>
        <v>100</v>
      </c>
      <c r="BV77" s="1011">
        <f>Кадры!$D77</f>
        <v>0</v>
      </c>
      <c r="BW77" s="1009">
        <f>Кадры!$F77</f>
        <v>0</v>
      </c>
      <c r="BX77" s="933" t="e">
        <f t="shared" si="35"/>
        <v>#DIV/0!</v>
      </c>
      <c r="BY77" s="1022">
        <f>Кадры!$P77</f>
        <v>0</v>
      </c>
      <c r="BZ77" s="1023">
        <f>Кадры!$L77</f>
        <v>0</v>
      </c>
      <c r="CA77" s="1006" t="str">
        <f t="shared" ref="CA77" si="146">IF(BZ77=0,"нет",BY77/BZ77*100)</f>
        <v>нет</v>
      </c>
      <c r="CB77" s="215"/>
      <c r="CC77" s="994" t="s">
        <v>510</v>
      </c>
      <c r="CD77" s="268"/>
      <c r="CF77" s="215"/>
      <c r="CG77" s="1028" t="e">
        <f t="array" ref="CG77">SUM(IF($F77:$CA77=нет,0,IF($F77:$CA77&gt;=$F$16:$CA$16,$F$16:$CA$16,IF($F77:$CA77&lt;$F$17:$CA$17,0,$F77:$CA77)))*$F$11:$CA$11*($F$104:$CA$104=CG$4)/$F$16:$CA$16*($F$106:$CA$115*($B$106:$B$115=$B77)*($A$106:$A$115=$A$104)))</f>
        <v>#DIV/0!</v>
      </c>
      <c r="CH77" s="1028" t="e">
        <f t="array" ref="CH77">SUM(IF($F77:$CA77=нет,0,IF($F77:$CA77&gt;=$F$16:$CA$16,$F$16:$CA$16,IF($F77:$CA77&lt;$F$17:$CA$17,0,$F77:$CA77)))*$F$11:$CA$11*($F$104:$CA$104=CH$4)/$F$16:$CA$16*($F$106:$CA$115*($B$106:$B$115=$B77)*($A$106:$A$115=$A$104)))</f>
        <v>#DIV/0!</v>
      </c>
      <c r="CI77" s="1028" t="e">
        <f t="array" ref="CI77">SUM(IF($F77:$CA77=нет,0,IF($F77:$CA77&gt;=$F$16:$CA$16,$F$16:$CA$16,IF($F77:$CA77&lt;$F$17:$CA$17,0,$F77:$CA77)))*$F$11:$CA$11*($F$105:$CA$105=CI$4)/$F$16:$CA$16*($F$106:$CA$115*($B$106:$B$115=$B77)*($A$106:$A$115=$A$104)))</f>
        <v>#DIV/0!</v>
      </c>
      <c r="CJ77" s="1072" t="e">
        <f>'НУ(ВИД3)'!D78</f>
        <v>#DIV/0!</v>
      </c>
      <c r="CK77" s="1028" t="e">
        <f t="array" ref="CK77">SUM(IF($F77:$CA77=нет,0,IF($F77:$CA77&gt;=$F$16:$CA$16,$F$16:$CA$16,IF($F77:$CA77&lt;$F$17:$CA$17,0,$F77:$CA77)))*$F$11:$CA$11*($F$104:$CA$104=CK$4)/$F$16:$CA$16*($F$106:$CA$115*($B$106:$B$115=$B77)*($A$106:$A$115=$A$104)))</f>
        <v>#DIV/0!</v>
      </c>
      <c r="CL77" s="1028" t="e">
        <f t="array" ref="CL77">SUM(IF($F77:$CA77=нет,0,IF($F77:$CA77&gt;=$F$16:$CA$16,$F$16:$CA$16,IF($F77:$CA77&lt;$F$17:$CA$17,0,$F77:$CA77)))*$F$11:$CA$11*($F$104:$CA$104=CL$4)/$F$16:$CA$16*($F$106:$CA$115*($B$106:$B$115=$B77)*($A$106:$A$115=$A$104)))</f>
        <v>#DIV/0!</v>
      </c>
      <c r="CM77" s="1028" t="e">
        <f t="array" ref="CM77">SUM(IF($F77:$CA77=нет,0,IF($F77:$CA77&gt;=$F$16:$CA$16,$F$16:$CA$16,IF($F77:$CA77&lt;$F$17:$CA$17,0,$F77:$CA77)))*$F$11:$CA$11*($F$104:$CA$104=CM$4)/$F$16:$CA$16*($F$106:$CA$115*($B$106:$B$115=$B77)*($A$106:$A$115=$A$104)))</f>
        <v>#DIV/0!</v>
      </c>
      <c r="CN77" s="215"/>
      <c r="CO77" s="1029" t="e">
        <f t="array" ref="CO77">SUM(IF($F77:$CA77=нет,0,100)*$F$11:$CA$11*($F$104:$CA$104=CO$4)/100*($F$106:$CA$115*($B$106:$B$115=$B77)*($A$106:$A$115=$A$104)))</f>
        <v>#DIV/0!</v>
      </c>
      <c r="CP77" s="1029" t="e">
        <f t="array" ref="CP77">SUM(IF($F77:$CA77=нет,0,100)*$F$11:$CA$11*($F$104:$CA$104=CP$4)/100*($F$106:$CA$115*($B$106:$B$115=$B77)*($A$106:$A$115=$A$104)))</f>
        <v>#DIV/0!</v>
      </c>
      <c r="CQ77" s="1029" t="e">
        <f t="array" ref="CQ77">SUM(IF($F77:$CA77=нет,0,100)*$F$11:$CA$11*($F$105:$CA$105=CQ$4)/100*($F$106:$CA$115*($B$106:$B$115=$B77)*($A$106:$A$115=$A$104)))</f>
        <v>#DIV/0!</v>
      </c>
      <c r="CR77" s="1057">
        <f>'НУ(ВИД3)'!E78</f>
        <v>21</v>
      </c>
      <c r="CS77" s="1029" t="e">
        <f t="array" ref="CS77">SUM(IF($F77:$CA77=нет,0,100)*$F$11:$CA$11*($F$104:$CA$104=CS$4)/100*($F$106:$CA$115*($B$106:$B$115=$B77)*($A$106:$A$115=$A$104)))</f>
        <v>#DIV/0!</v>
      </c>
      <c r="CT77" s="1029" t="e">
        <f t="array" ref="CT77">SUM(IF($F77:$CA77=нет,0,100)*$F$11:$CA$11*($F$104:$CA$104=CT$4)/100*($F$106:$CA$115*($B$106:$B$115=$B77)*($A$106:$A$115=$A$104)))</f>
        <v>#DIV/0!</v>
      </c>
      <c r="CU77" s="1029" t="e">
        <f t="array" ref="CU77">SUM(IF($F77:$CA77=нет,0,100)*$F$11:$CA$11*($F$104:$CA$104=CU$4)/100*($F$106:$CA$115*($B$106:$B$115=$B77)*($A$106:$A$115=$A$104)))</f>
        <v>#DIV/0!</v>
      </c>
      <c r="CV77" s="215"/>
      <c r="CW77" s="1031" t="e">
        <f>SUM(CG77:CH77,CJ77:CM77,'Реестр ППС'!#REF!,' "Вуз зож"'!S77)</f>
        <v>#REF!</v>
      </c>
      <c r="CX77" s="1030" t="e">
        <f>SUM(CO77:CP77,CR77:CU77,'Реестр ППС'!#REF!,' "Вуз зож"'!T77)</f>
        <v>#REF!</v>
      </c>
      <c r="CY77" s="1031" t="e">
        <f t="shared" si="140"/>
        <v>#REF!</v>
      </c>
      <c r="CZ77" s="215"/>
      <c r="DA77" s="336" t="e">
        <f>SUM(CI77:CK77,CM77,'Реестр ППС'!#REF!,' "Вуз зож"'!S77)</f>
        <v>#REF!</v>
      </c>
      <c r="DB77" s="336" t="e">
        <f>SUM(CQ77:CS77,CU77,'Реестр ППС'!#REF!,' "Вуз зож"'!T77)</f>
        <v>#REF!</v>
      </c>
      <c r="DC77" s="1031" t="e">
        <f t="shared" si="141"/>
        <v>#REF!</v>
      </c>
      <c r="DD77" s="313"/>
      <c r="DE77" s="1032" t="e">
        <f t="shared" si="97"/>
        <v>#DIV/0!</v>
      </c>
      <c r="DF77" s="1032" t="e">
        <f t="shared" si="44"/>
        <v>#DIV/0!</v>
      </c>
      <c r="DG77" s="1032" t="e">
        <f t="shared" si="45"/>
        <v>#DIV/0!</v>
      </c>
      <c r="DH77" s="1032" t="e">
        <f t="shared" si="46"/>
        <v>#DIV/0!</v>
      </c>
      <c r="DI77" s="1032" t="e">
        <f t="shared" si="47"/>
        <v>#DIV/0!</v>
      </c>
      <c r="DJ77" s="1032" t="e">
        <f t="shared" si="48"/>
        <v>#DIV/0!</v>
      </c>
      <c r="DK77" s="1032" t="e">
        <f t="shared" si="49"/>
        <v>#DIV/0!</v>
      </c>
      <c r="DL77" s="334" t="str">
        <f>A77</f>
        <v>Кардиологии и сердечно-сосудистой хирургии с курсом ДПО</v>
      </c>
      <c r="DM77" s="215" t="str">
        <f t="shared" si="94"/>
        <v>ОиДПО</v>
      </c>
      <c r="DN77" s="1507" t="e">
        <f t="shared" si="142"/>
        <v>#REF!</v>
      </c>
      <c r="DO77" s="338"/>
      <c r="DP77" s="338"/>
      <c r="DQ77" s="338"/>
      <c r="DR77" s="253"/>
      <c r="DS77" s="253"/>
      <c r="DT77" s="253"/>
      <c r="DU77" s="253"/>
      <c r="DV77" s="253"/>
      <c r="DW77" s="253"/>
      <c r="DX77" s="253"/>
    </row>
    <row r="78" spans="1:128" s="371" customFormat="1" ht="15.75" thickBot="1" x14ac:dyDescent="0.25">
      <c r="A78" s="808" t="s">
        <v>505</v>
      </c>
      <c r="B78" s="1135" t="s">
        <v>7</v>
      </c>
      <c r="C78" s="1136">
        <f>Кадры!C78</f>
        <v>0</v>
      </c>
      <c r="D78" s="2084"/>
      <c r="E78" s="2083" t="s">
        <v>16</v>
      </c>
      <c r="F78" s="1138" t="s">
        <v>31</v>
      </c>
      <c r="G78" s="1139"/>
      <c r="H78" s="819">
        <f t="shared" ref="H78" si="147">IF(G78&gt;0,0,100)</f>
        <v>100</v>
      </c>
      <c r="I78" s="1837"/>
      <c r="J78" s="1141">
        <f t="shared" ref="J78" si="148">IF(I78&gt;0,0,100)</f>
        <v>100</v>
      </c>
      <c r="K78" s="1142">
        <f>МероприятияВуза!$AR78+МероприятияВуза!$AQ78</f>
        <v>0</v>
      </c>
      <c r="L78" s="1143">
        <f>МероприятияВуза!$G78+МероприятияВуза!$H78</f>
        <v>0</v>
      </c>
      <c r="M78" s="1144" t="str">
        <f t="shared" ref="M78" si="149">IF((L78&gt;0),K78/L78*100,IF(K78&gt;0,100,нет))</f>
        <v>нет</v>
      </c>
      <c r="N78" s="1145">
        <f>МероприятияВуза!$AS78</f>
        <v>0</v>
      </c>
      <c r="O78" s="1143">
        <f>МероприятияВуза!$I78+МероприятияВуза!$J78</f>
        <v>0</v>
      </c>
      <c r="P78" s="1144" t="str">
        <f t="shared" ref="P78" si="150">IF((O78&gt;0),N78/O78*100,IF(N78&gt;0,100,нет))</f>
        <v>нет</v>
      </c>
      <c r="Q78" s="1840"/>
      <c r="R78" s="817">
        <f t="shared" si="22"/>
        <v>100</v>
      </c>
      <c r="S78" s="1854"/>
      <c r="T78" s="1853"/>
      <c r="U78" s="1147" t="str">
        <f t="shared" ref="U78" si="151">IF(T78=0,"нет",S78/T78*100)</f>
        <v>нет</v>
      </c>
      <c r="V78" s="1146"/>
      <c r="W78" s="1139"/>
      <c r="X78" s="1147" t="str">
        <f t="shared" ref="X78" si="152">IF(W78=0,"нет",V78/W78*100)</f>
        <v>нет</v>
      </c>
      <c r="Y78" s="1864"/>
      <c r="Z78" s="1863"/>
      <c r="AA78" s="911" t="str">
        <f t="shared" ref="AA78" si="153">IF(Z78=0,"нет",Y78/Z78*100)</f>
        <v>нет</v>
      </c>
      <c r="AB78" s="1146"/>
      <c r="AC78" s="1139"/>
      <c r="AD78" s="1148" t="str">
        <f t="shared" si="24"/>
        <v>нет</v>
      </c>
      <c r="AE78" s="1149"/>
      <c r="AF78" s="1150"/>
      <c r="AG78" s="1147" t="str">
        <f t="shared" ref="AG78" si="154">IF(AF78=0,"нет",AE78/AF78*100)</f>
        <v>нет</v>
      </c>
      <c r="AH78" s="1151"/>
      <c r="AI78" s="1150"/>
      <c r="AJ78" s="1147" t="str">
        <f t="shared" ref="AJ78" si="155">IF(AI78=0,"нет",AH78/AI78*100)</f>
        <v>нет</v>
      </c>
      <c r="AK78" s="1152">
        <f>ПрофРабота!$Q78</f>
        <v>0</v>
      </c>
      <c r="AL78" s="1137">
        <f>ПрофРабота!$R78</f>
        <v>0</v>
      </c>
      <c r="AM78" s="1137">
        <f>ПрофРабота!$S78</f>
        <v>0</v>
      </c>
      <c r="AN78" s="1156">
        <f>ПрофРабота!$C78</f>
        <v>0</v>
      </c>
      <c r="AO78" s="1145">
        <f>МероприятияВуза!$AT78</f>
        <v>0</v>
      </c>
      <c r="AP78" s="1143">
        <f>МероприятияВуза!$K78</f>
        <v>0</v>
      </c>
      <c r="AQ78" s="1156" t="str">
        <f t="shared" si="131"/>
        <v>нет</v>
      </c>
      <c r="AR78" s="1153">
        <v>0</v>
      </c>
      <c r="AS78" s="1154">
        <v>0</v>
      </c>
      <c r="AT78" s="1155">
        <f t="shared" ref="AT78" si="156">IF(($E78="да"),IF(AR78=0,0,AR78/$C78),"нет")</f>
        <v>0</v>
      </c>
      <c r="AU78" s="1535" t="str">
        <f t="shared" ref="AU78" si="157">IF(($E78="да"),IF(AS78=0,"нет",AR78/AS78*100),"нет")</f>
        <v>нет</v>
      </c>
      <c r="AV78" s="1153">
        <v>0</v>
      </c>
      <c r="AW78" s="1154">
        <f>'ИДО(Финансы)'!$R78</f>
        <v>0</v>
      </c>
      <c r="AX78" s="1154">
        <v>0</v>
      </c>
      <c r="AY78" s="1154">
        <f>'ИДО(Финансы)'!$S78</f>
        <v>0</v>
      </c>
      <c r="AZ78" s="1159">
        <f>IF(AV78+AW78=0,0,(AV78+AW78)/$C78)</f>
        <v>0</v>
      </c>
      <c r="BA78" s="1536" t="str">
        <f t="array" ref="BA78">IF(($E78="да"),IF($AX78=0,"нет",$AV78/$AX78*100-100),"нет")</f>
        <v>нет</v>
      </c>
      <c r="BB78" s="1537" t="str">
        <f t="array" ref="BB78">IF(($E78="да"),IF($AX78=0,"нет",$AV78/$AX78*100),"нет")</f>
        <v>нет</v>
      </c>
      <c r="BC78" s="1538" t="str">
        <f t="shared" si="93"/>
        <v>нет</v>
      </c>
      <c r="BD78" s="1538" t="e">
        <f t="array" ref="BD78">IF(($E78="да"),IF($AZ78&gt;$AZ$17,$AZ78/$AZ$16*BD$16,нет),нет)</f>
        <v>#DIV/0!</v>
      </c>
      <c r="BE78" s="1153">
        <f>'ИДО(Финансы)'!$R78</f>
        <v>0</v>
      </c>
      <c r="BF78" s="1154">
        <f>'ИДО(Финансы)'!D78</f>
        <v>0</v>
      </c>
      <c r="BG78" s="1155" t="str">
        <f t="shared" ref="BG78" si="158">IF(($F78="да"),IF(BE78=0,0,BE78/$C78),"нет")</f>
        <v>нет</v>
      </c>
      <c r="BH78" s="1535" t="str">
        <f t="shared" ref="BH78" si="159">IF(($F78="да"),IF(BF78=0,"нет",BE78/BF78*100),"нет")</f>
        <v>нет</v>
      </c>
      <c r="BI78" s="1539" t="str">
        <f t="array" ref="BI78">IF(($E78="да")+($F78="да"),IF((BF78+AS78)=0,"нет",(AR78+BE78)/(BF78+AS78)*100),"нет")</f>
        <v>нет</v>
      </c>
      <c r="BJ78" s="1161">
        <f>Кадры!$I78</f>
        <v>0</v>
      </c>
      <c r="BK78" s="1157">
        <f>Кадры!$O78</f>
        <v>0</v>
      </c>
      <c r="BL78" s="1158">
        <f>Кадры!$K78</f>
        <v>0</v>
      </c>
      <c r="BM78" s="1162" t="str">
        <f t="array" ref="BM78">IF(BL78=0,"нет",BK78/BL78*100)</f>
        <v>нет</v>
      </c>
      <c r="BN78" s="1145">
        <f>Кадры!E78</f>
        <v>0</v>
      </c>
      <c r="BO78" s="1158">
        <f>Кадры!$K78</f>
        <v>0</v>
      </c>
      <c r="BP78" s="1160" t="str">
        <f t="shared" ref="BP78" si="160">IF(BN78=0,нет,BO78/BN78)</f>
        <v>нет</v>
      </c>
      <c r="BQ78" s="342" t="str">
        <f t="shared" si="98"/>
        <v>нет</v>
      </c>
      <c r="BR78" s="1157">
        <f>Кадры!$L78</f>
        <v>0</v>
      </c>
      <c r="BS78" s="1547">
        <f>Кадры!$J78</f>
        <v>0</v>
      </c>
      <c r="BT78" s="1160">
        <f t="shared" ref="BT78" si="161">IF(BS78=0,0,BR78/BS78*100)</f>
        <v>0</v>
      </c>
      <c r="BU78" s="1156">
        <f t="shared" ref="BU78" si="162">100-BT78</f>
        <v>100</v>
      </c>
      <c r="BV78" s="1145">
        <f>Кадры!$D78</f>
        <v>0</v>
      </c>
      <c r="BW78" s="1143">
        <f>Кадры!$F78</f>
        <v>0</v>
      </c>
      <c r="BX78" s="1156" t="e">
        <f t="shared" ref="BX78" si="163">BW78/BV78*100</f>
        <v>#DIV/0!</v>
      </c>
      <c r="BY78" s="1157">
        <f>Кадры!$P78</f>
        <v>0</v>
      </c>
      <c r="BZ78" s="1158">
        <f>Кадры!$L78</f>
        <v>0</v>
      </c>
      <c r="CA78" s="1140" t="str">
        <f t="shared" ref="CA78" si="164">IF(BZ78=0,"нет",BY78/BZ78*100)</f>
        <v>нет</v>
      </c>
      <c r="CB78" s="767"/>
      <c r="CD78" s="268"/>
      <c r="CE78" s="189"/>
      <c r="CF78" s="767"/>
      <c r="DO78" s="253"/>
      <c r="DP78" s="253"/>
      <c r="DQ78" s="253"/>
      <c r="DR78" s="253"/>
      <c r="DS78" s="253"/>
      <c r="DT78" s="253"/>
      <c r="DU78" s="253"/>
      <c r="DV78" s="253"/>
      <c r="DW78" s="253"/>
      <c r="DX78" s="253"/>
    </row>
    <row r="79" spans="1:128" s="371" customFormat="1" ht="18" x14ac:dyDescent="0.2">
      <c r="A79" s="1163"/>
      <c r="AR79" s="1912"/>
      <c r="CB79" s="767"/>
      <c r="CC79" s="767"/>
      <c r="CD79" s="268"/>
      <c r="CE79" s="189"/>
      <c r="CF79" s="767"/>
      <c r="CG79" s="372"/>
      <c r="CH79" s="372"/>
      <c r="CI79" s="372"/>
      <c r="CJ79" s="372"/>
      <c r="CK79" s="372"/>
      <c r="CL79" s="372"/>
      <c r="CM79" s="372"/>
      <c r="CN79" s="372"/>
      <c r="CO79" s="372"/>
      <c r="CP79" s="372"/>
      <c r="CQ79" s="372"/>
      <c r="CR79" s="372"/>
      <c r="CS79" s="372"/>
      <c r="CT79" s="372"/>
      <c r="CU79" s="372"/>
      <c r="CV79" s="372"/>
      <c r="CW79" s="372"/>
      <c r="CX79" s="372"/>
      <c r="CY79" s="372"/>
      <c r="CZ79" s="372"/>
      <c r="DA79" s="372"/>
      <c r="DB79" s="372"/>
      <c r="DC79" s="372"/>
      <c r="DD79" s="197"/>
      <c r="DE79" s="253"/>
      <c r="DF79" s="253"/>
      <c r="DG79" s="253"/>
      <c r="DH79" s="253"/>
      <c r="DI79" s="253"/>
      <c r="DJ79" s="253"/>
      <c r="DK79" s="253"/>
      <c r="DL79" s="372"/>
      <c r="DM79" s="372"/>
      <c r="DN79" s="253"/>
      <c r="DO79" s="253"/>
      <c r="DP79" s="253"/>
      <c r="DQ79" s="253"/>
      <c r="DR79" s="253"/>
      <c r="DS79" s="253"/>
      <c r="DT79" s="253"/>
      <c r="DU79" s="253"/>
      <c r="DV79" s="253"/>
      <c r="DW79" s="253"/>
      <c r="DX79" s="253"/>
    </row>
    <row r="80" spans="1:128" ht="18" x14ac:dyDescent="0.2">
      <c r="A80" s="287"/>
      <c r="BK80" s="1550" t="s">
        <v>604</v>
      </c>
      <c r="BL80" s="1548"/>
      <c r="BM80" s="1548"/>
      <c r="CC80" s="767"/>
      <c r="CD80" s="268"/>
      <c r="DR80" s="253"/>
      <c r="DS80" s="253"/>
      <c r="DT80" s="253"/>
      <c r="DU80" s="253"/>
      <c r="DV80" s="253"/>
      <c r="DW80" s="253"/>
      <c r="DX80" s="253"/>
    </row>
    <row r="81" spans="1:128" ht="18" x14ac:dyDescent="0.2">
      <c r="A81" s="287"/>
      <c r="BK81" s="1551" t="s">
        <v>605</v>
      </c>
      <c r="BL81" s="1549"/>
      <c r="BM81" s="1549"/>
      <c r="BN81" s="1549"/>
      <c r="BO81" s="1549"/>
      <c r="CD81" s="268"/>
      <c r="DR81" s="253"/>
      <c r="DS81" s="253"/>
      <c r="DT81" s="253"/>
      <c r="DU81" s="253"/>
      <c r="DV81" s="253"/>
      <c r="DW81" s="253"/>
      <c r="DX81" s="253"/>
    </row>
    <row r="82" spans="1:128" ht="18" x14ac:dyDescent="0.2">
      <c r="A82" s="287"/>
      <c r="DR82" s="253"/>
      <c r="DS82" s="253"/>
      <c r="DT82" s="253"/>
      <c r="DU82" s="253"/>
      <c r="DV82" s="253"/>
      <c r="DW82" s="253"/>
      <c r="DX82" s="253"/>
    </row>
    <row r="83" spans="1:128" ht="18" x14ac:dyDescent="0.2">
      <c r="A83" s="287"/>
      <c r="DR83" s="253"/>
      <c r="DS83" s="253"/>
      <c r="DT83" s="253"/>
      <c r="DU83" s="253"/>
      <c r="DV83" s="253"/>
      <c r="DW83" s="253"/>
      <c r="DX83" s="253"/>
    </row>
    <row r="84" spans="1:128" ht="18" x14ac:dyDescent="0.2">
      <c r="A84" s="287"/>
      <c r="DR84" s="253"/>
      <c r="DS84" s="253"/>
      <c r="DT84" s="253"/>
      <c r="DU84" s="253"/>
      <c r="DV84" s="253"/>
      <c r="DW84" s="253"/>
      <c r="DX84" s="253"/>
    </row>
    <row r="85" spans="1:128" ht="18" x14ac:dyDescent="0.2">
      <c r="A85" s="287"/>
      <c r="DR85" s="253"/>
      <c r="DS85" s="253"/>
      <c r="DT85" s="253"/>
      <c r="DU85" s="253"/>
      <c r="DV85" s="253"/>
      <c r="DW85" s="253"/>
      <c r="DX85" s="253"/>
    </row>
    <row r="86" spans="1:128" ht="18" x14ac:dyDescent="0.2">
      <c r="A86" s="287"/>
      <c r="DR86" s="253"/>
      <c r="DS86" s="253"/>
      <c r="DT86" s="253"/>
      <c r="DU86" s="253"/>
      <c r="DV86" s="253"/>
      <c r="DW86" s="253"/>
      <c r="DX86" s="253"/>
    </row>
    <row r="87" spans="1:128" ht="18" x14ac:dyDescent="0.2">
      <c r="A87" s="287"/>
      <c r="DR87" s="253"/>
      <c r="DS87" s="253"/>
      <c r="DT87" s="253"/>
      <c r="DU87" s="253"/>
      <c r="DV87" s="253"/>
      <c r="DW87" s="253"/>
      <c r="DX87" s="253"/>
    </row>
    <row r="88" spans="1:128" ht="18" x14ac:dyDescent="0.2">
      <c r="A88" s="287"/>
      <c r="DR88" s="253"/>
      <c r="DS88" s="253"/>
      <c r="DT88" s="253"/>
      <c r="DU88" s="253"/>
      <c r="DV88" s="253"/>
      <c r="DW88" s="253"/>
      <c r="DX88" s="253"/>
    </row>
    <row r="89" spans="1:128" ht="18" x14ac:dyDescent="0.2">
      <c r="A89" s="287"/>
      <c r="DR89" s="253"/>
      <c r="DS89" s="253"/>
      <c r="DT89" s="253"/>
      <c r="DU89" s="253"/>
      <c r="DV89" s="253"/>
      <c r="DW89" s="253"/>
      <c r="DX89" s="253"/>
    </row>
    <row r="90" spans="1:128" ht="18" x14ac:dyDescent="0.2">
      <c r="A90" s="287"/>
      <c r="DR90" s="253"/>
      <c r="DS90" s="253"/>
      <c r="DT90" s="253"/>
      <c r="DU90" s="253"/>
      <c r="DV90" s="253"/>
      <c r="DW90" s="253"/>
      <c r="DX90" s="253"/>
    </row>
    <row r="91" spans="1:128" ht="18" x14ac:dyDescent="0.2">
      <c r="A91" s="287"/>
      <c r="DR91" s="253"/>
      <c r="DS91" s="253"/>
      <c r="DT91" s="253"/>
      <c r="DU91" s="253"/>
      <c r="DV91" s="253"/>
      <c r="DW91" s="253"/>
      <c r="DX91" s="253"/>
    </row>
    <row r="92" spans="1:128" ht="18" x14ac:dyDescent="0.2">
      <c r="A92" s="287"/>
      <c r="DR92" s="253"/>
      <c r="DS92" s="253"/>
      <c r="DT92" s="253"/>
      <c r="DU92" s="253"/>
      <c r="DV92" s="253"/>
      <c r="DW92" s="253"/>
      <c r="DX92" s="253"/>
    </row>
    <row r="93" spans="1:128" x14ac:dyDescent="0.2">
      <c r="DR93" s="253"/>
      <c r="DS93" s="253"/>
      <c r="DT93" s="253"/>
      <c r="DU93" s="253"/>
      <c r="DV93" s="253"/>
      <c r="DW93" s="253"/>
      <c r="DX93" s="253"/>
    </row>
    <row r="94" spans="1:128" x14ac:dyDescent="0.2">
      <c r="DR94" s="253"/>
      <c r="DS94" s="253"/>
      <c r="DT94" s="253"/>
      <c r="DU94" s="253"/>
      <c r="DV94" s="253"/>
      <c r="DW94" s="253"/>
      <c r="DX94" s="253"/>
    </row>
    <row r="95" spans="1:128" x14ac:dyDescent="0.2">
      <c r="DR95" s="253"/>
      <c r="DS95" s="253"/>
      <c r="DT95" s="253"/>
      <c r="DU95" s="253"/>
      <c r="DV95" s="253"/>
      <c r="DW95" s="253"/>
      <c r="DX95" s="253"/>
    </row>
    <row r="96" spans="1:128" x14ac:dyDescent="0.2">
      <c r="DR96" s="253"/>
      <c r="DS96" s="253"/>
      <c r="DT96" s="253"/>
      <c r="DU96" s="253"/>
      <c r="DV96" s="253"/>
      <c r="DW96" s="253"/>
      <c r="DX96" s="253"/>
    </row>
    <row r="97" spans="1:128" x14ac:dyDescent="0.2">
      <c r="DR97" s="253"/>
      <c r="DS97" s="253"/>
      <c r="DT97" s="253"/>
      <c r="DU97" s="253"/>
      <c r="DV97" s="253"/>
      <c r="DW97" s="253"/>
      <c r="DX97" s="253"/>
    </row>
    <row r="98" spans="1:128" x14ac:dyDescent="0.2">
      <c r="DR98" s="253"/>
      <c r="DS98" s="253"/>
      <c r="DT98" s="253"/>
      <c r="DU98" s="253"/>
      <c r="DV98" s="253"/>
      <c r="DW98" s="253"/>
      <c r="DX98" s="253"/>
    </row>
    <row r="99" spans="1:128" s="288" customFormat="1" ht="15" thickBot="1" x14ac:dyDescent="0.25">
      <c r="CC99" s="289"/>
      <c r="CD99" s="261"/>
      <c r="CE99" s="286"/>
      <c r="DD99" s="286"/>
      <c r="DE99" s="253"/>
      <c r="DF99" s="253"/>
      <c r="DG99" s="253"/>
      <c r="DH99" s="253"/>
      <c r="DI99" s="253"/>
      <c r="DJ99" s="253"/>
      <c r="DK99" s="253"/>
      <c r="DN99" s="253"/>
      <c r="DO99" s="253"/>
      <c r="DP99" s="253"/>
      <c r="DQ99" s="253"/>
      <c r="DR99" s="253"/>
      <c r="DS99" s="253"/>
      <c r="DT99" s="253"/>
      <c r="DU99" s="253"/>
      <c r="DV99" s="253"/>
      <c r="DW99" s="253"/>
      <c r="DX99" s="253"/>
    </row>
    <row r="100" spans="1:128" x14ac:dyDescent="0.2">
      <c r="DR100" s="253"/>
      <c r="DS100" s="253"/>
      <c r="DT100" s="253"/>
      <c r="DU100" s="253"/>
      <c r="DV100" s="253"/>
      <c r="DW100" s="253"/>
      <c r="DX100" s="253"/>
    </row>
    <row r="101" spans="1:128" hidden="1" x14ac:dyDescent="0.2">
      <c r="DR101" s="253"/>
      <c r="DS101" s="253"/>
      <c r="DT101" s="253"/>
      <c r="DU101" s="253"/>
      <c r="DV101" s="253"/>
      <c r="DW101" s="253"/>
      <c r="DX101" s="253"/>
    </row>
    <row r="102" spans="1:128" s="290" customFormat="1" hidden="1" x14ac:dyDescent="0.2">
      <c r="CC102" s="291"/>
      <c r="CD102" s="261"/>
      <c r="CE102" s="189"/>
      <c r="DD102" s="189"/>
      <c r="DE102" s="253"/>
      <c r="DF102" s="253"/>
      <c r="DG102" s="253"/>
      <c r="DH102" s="253"/>
      <c r="DI102" s="253"/>
      <c r="DJ102" s="253"/>
      <c r="DK102" s="253"/>
      <c r="DN102" s="253"/>
      <c r="DO102" s="253"/>
      <c r="DP102" s="253"/>
      <c r="DQ102" s="253"/>
      <c r="DR102" s="253"/>
      <c r="DS102" s="253"/>
      <c r="DT102" s="253"/>
      <c r="DU102" s="253"/>
      <c r="DV102" s="253"/>
      <c r="DW102" s="253"/>
      <c r="DX102" s="253"/>
    </row>
    <row r="103" spans="1:128" hidden="1" x14ac:dyDescent="0.2">
      <c r="DR103" s="253"/>
      <c r="DS103" s="253"/>
      <c r="DT103" s="253"/>
      <c r="DU103" s="253"/>
      <c r="DV103" s="253"/>
      <c r="DW103" s="253"/>
      <c r="DX103" s="253"/>
    </row>
    <row r="104" spans="1:128" hidden="1" x14ac:dyDescent="0.2">
      <c r="A104" s="292" t="s">
        <v>14</v>
      </c>
      <c r="F104" s="263" t="s">
        <v>51</v>
      </c>
      <c r="G104" s="263" t="s">
        <v>51</v>
      </c>
      <c r="H104" s="263" t="s">
        <v>51</v>
      </c>
      <c r="I104" s="263" t="s">
        <v>51</v>
      </c>
      <c r="J104" s="263" t="s">
        <v>51</v>
      </c>
      <c r="K104" s="263" t="s">
        <v>51</v>
      </c>
      <c r="L104" s="263" t="s">
        <v>51</v>
      </c>
      <c r="M104" s="263" t="s">
        <v>51</v>
      </c>
      <c r="N104" s="263" t="s">
        <v>51</v>
      </c>
      <c r="O104" s="263" t="s">
        <v>51</v>
      </c>
      <c r="P104" s="263" t="s">
        <v>51</v>
      </c>
      <c r="Q104" s="263" t="s">
        <v>51</v>
      </c>
      <c r="R104" s="263" t="s">
        <v>51</v>
      </c>
      <c r="S104" s="263" t="s">
        <v>51</v>
      </c>
      <c r="T104" s="263" t="s">
        <v>51</v>
      </c>
      <c r="U104" s="263" t="s">
        <v>51</v>
      </c>
      <c r="V104" s="263" t="s">
        <v>51</v>
      </c>
      <c r="W104" s="263" t="s">
        <v>51</v>
      </c>
      <c r="X104" s="263" t="s">
        <v>51</v>
      </c>
      <c r="Y104" s="263" t="s">
        <v>51</v>
      </c>
      <c r="Z104" s="263" t="s">
        <v>51</v>
      </c>
      <c r="AA104" s="263" t="s">
        <v>51</v>
      </c>
      <c r="AB104" s="263" t="s">
        <v>51</v>
      </c>
      <c r="AC104" s="263" t="s">
        <v>51</v>
      </c>
      <c r="AD104" s="263" t="s">
        <v>51</v>
      </c>
      <c r="AE104" s="263" t="s">
        <v>29</v>
      </c>
      <c r="AF104" s="263" t="s">
        <v>29</v>
      </c>
      <c r="AG104" s="263" t="s">
        <v>29</v>
      </c>
      <c r="AH104" s="263" t="s">
        <v>29</v>
      </c>
      <c r="AI104" s="263" t="s">
        <v>29</v>
      </c>
      <c r="AJ104" s="263" t="s">
        <v>29</v>
      </c>
      <c r="AK104" s="294" t="s">
        <v>48</v>
      </c>
      <c r="AL104" s="294" t="s">
        <v>48</v>
      </c>
      <c r="AM104" s="294" t="s">
        <v>48</v>
      </c>
      <c r="AN104" s="294" t="s">
        <v>48</v>
      </c>
      <c r="AO104" s="294" t="s">
        <v>48</v>
      </c>
      <c r="AP104" s="294" t="s">
        <v>48</v>
      </c>
      <c r="AQ104" s="294" t="s">
        <v>48</v>
      </c>
      <c r="AR104" s="295" t="s">
        <v>49</v>
      </c>
      <c r="AS104" s="295" t="s">
        <v>49</v>
      </c>
      <c r="AT104" s="295" t="s">
        <v>49</v>
      </c>
      <c r="AU104" s="295" t="s">
        <v>49</v>
      </c>
      <c r="AV104" s="295" t="s">
        <v>49</v>
      </c>
      <c r="AW104" s="295" t="s">
        <v>49</v>
      </c>
      <c r="AX104" s="295" t="s">
        <v>49</v>
      </c>
      <c r="AY104" s="295" t="s">
        <v>49</v>
      </c>
      <c r="AZ104" s="295" t="s">
        <v>49</v>
      </c>
      <c r="BA104" s="295" t="s">
        <v>49</v>
      </c>
      <c r="BB104" s="295" t="s">
        <v>49</v>
      </c>
      <c r="BC104" s="295" t="s">
        <v>49</v>
      </c>
      <c r="BD104" s="295" t="s">
        <v>49</v>
      </c>
      <c r="BE104" s="295" t="s">
        <v>49</v>
      </c>
      <c r="BF104" s="295" t="s">
        <v>49</v>
      </c>
      <c r="BG104" s="295" t="s">
        <v>49</v>
      </c>
      <c r="BH104" s="295" t="s">
        <v>49</v>
      </c>
      <c r="BI104" s="295" t="s">
        <v>49</v>
      </c>
      <c r="BJ104" s="401" t="s">
        <v>50</v>
      </c>
      <c r="BK104" s="401" t="s">
        <v>50</v>
      </c>
      <c r="BL104" s="401" t="s">
        <v>50</v>
      </c>
      <c r="BM104" s="401" t="s">
        <v>50</v>
      </c>
      <c r="BN104" s="401" t="s">
        <v>50</v>
      </c>
      <c r="BO104" s="401" t="s">
        <v>50</v>
      </c>
      <c r="BP104" s="401" t="s">
        <v>50</v>
      </c>
      <c r="BQ104" s="401" t="s">
        <v>50</v>
      </c>
      <c r="BR104" s="401" t="s">
        <v>50</v>
      </c>
      <c r="BS104" s="401" t="s">
        <v>50</v>
      </c>
      <c r="BT104" s="401" t="s">
        <v>50</v>
      </c>
      <c r="BU104" s="401" t="s">
        <v>50</v>
      </c>
      <c r="BV104" s="766" t="s">
        <v>50</v>
      </c>
      <c r="BW104" s="766" t="s">
        <v>50</v>
      </c>
      <c r="BX104" s="766" t="s">
        <v>50</v>
      </c>
      <c r="BY104" s="401" t="s">
        <v>50</v>
      </c>
      <c r="BZ104" s="401" t="s">
        <v>50</v>
      </c>
      <c r="CA104" s="401" t="s">
        <v>50</v>
      </c>
      <c r="DR104" s="253"/>
      <c r="DS104" s="253"/>
      <c r="DT104" s="253"/>
      <c r="DU104" s="253"/>
      <c r="DV104" s="253"/>
      <c r="DW104" s="253"/>
      <c r="DX104" s="253"/>
    </row>
    <row r="105" spans="1:128" hidden="1" x14ac:dyDescent="0.2">
      <c r="A105" s="296" t="s">
        <v>39</v>
      </c>
      <c r="F105" s="297" t="s">
        <v>52</v>
      </c>
      <c r="G105" s="297" t="s">
        <v>52</v>
      </c>
      <c r="H105" s="297" t="s">
        <v>52</v>
      </c>
      <c r="I105" s="297" t="s">
        <v>52</v>
      </c>
      <c r="J105" s="297" t="s">
        <v>52</v>
      </c>
      <c r="K105" s="297" t="s">
        <v>52</v>
      </c>
      <c r="L105" s="297" t="s">
        <v>52</v>
      </c>
      <c r="M105" s="297" t="s">
        <v>52</v>
      </c>
      <c r="N105" s="297" t="s">
        <v>52</v>
      </c>
      <c r="O105" s="297" t="s">
        <v>52</v>
      </c>
      <c r="P105" s="297" t="s">
        <v>52</v>
      </c>
      <c r="Q105" s="765" t="s">
        <v>52</v>
      </c>
      <c r="R105" s="765" t="s">
        <v>52</v>
      </c>
      <c r="S105" s="297" t="s">
        <v>52</v>
      </c>
      <c r="T105" s="297" t="s">
        <v>52</v>
      </c>
      <c r="U105" s="297" t="s">
        <v>52</v>
      </c>
      <c r="V105" s="297" t="s">
        <v>52</v>
      </c>
      <c r="W105" s="297" t="s">
        <v>52</v>
      </c>
      <c r="X105" s="297" t="s">
        <v>52</v>
      </c>
      <c r="Y105" s="297" t="s">
        <v>52</v>
      </c>
      <c r="Z105" s="297" t="s">
        <v>52</v>
      </c>
      <c r="AA105" s="297" t="s">
        <v>52</v>
      </c>
      <c r="AB105" s="765" t="s">
        <v>52</v>
      </c>
      <c r="AC105" s="765" t="s">
        <v>52</v>
      </c>
      <c r="AD105" s="765" t="s">
        <v>52</v>
      </c>
      <c r="AE105" s="298" t="s">
        <v>29</v>
      </c>
      <c r="AF105" s="298" t="s">
        <v>29</v>
      </c>
      <c r="AG105" s="298" t="s">
        <v>29</v>
      </c>
      <c r="AH105" s="298" t="s">
        <v>29</v>
      </c>
      <c r="AI105" s="298" t="s">
        <v>29</v>
      </c>
      <c r="AJ105" s="298" t="s">
        <v>29</v>
      </c>
      <c r="AK105" s="297" t="s">
        <v>40</v>
      </c>
      <c r="AL105" s="297" t="s">
        <v>40</v>
      </c>
      <c r="AM105" s="297" t="s">
        <v>40</v>
      </c>
      <c r="AN105" s="297" t="s">
        <v>40</v>
      </c>
      <c r="AO105" s="297" t="s">
        <v>40</v>
      </c>
      <c r="AP105" s="297" t="s">
        <v>40</v>
      </c>
      <c r="AQ105" s="297" t="s">
        <v>40</v>
      </c>
      <c r="AR105" s="297" t="s">
        <v>40</v>
      </c>
      <c r="AS105" s="297" t="s">
        <v>40</v>
      </c>
      <c r="AT105" s="765" t="s">
        <v>40</v>
      </c>
      <c r="AU105" s="297" t="s">
        <v>40</v>
      </c>
      <c r="AV105" s="297" t="s">
        <v>40</v>
      </c>
      <c r="AW105" s="297" t="s">
        <v>40</v>
      </c>
      <c r="AX105" s="297" t="s">
        <v>40</v>
      </c>
      <c r="AY105" s="297" t="s">
        <v>40</v>
      </c>
      <c r="AZ105" s="765" t="s">
        <v>40</v>
      </c>
      <c r="BA105" s="297" t="s">
        <v>40</v>
      </c>
      <c r="BB105" s="297" t="s">
        <v>40</v>
      </c>
      <c r="BC105" s="297" t="s">
        <v>40</v>
      </c>
      <c r="BD105" s="297" t="s">
        <v>40</v>
      </c>
      <c r="BE105" s="297" t="s">
        <v>40</v>
      </c>
      <c r="BF105" s="297" t="s">
        <v>40</v>
      </c>
      <c r="BG105" s="765" t="s">
        <v>40</v>
      </c>
      <c r="BH105" s="297" t="s">
        <v>40</v>
      </c>
      <c r="BI105" s="297" t="s">
        <v>40</v>
      </c>
      <c r="BJ105" s="297" t="s">
        <v>40</v>
      </c>
      <c r="BK105" s="297" t="s">
        <v>40</v>
      </c>
      <c r="BL105" s="297" t="s">
        <v>40</v>
      </c>
      <c r="BM105" s="297" t="s">
        <v>40</v>
      </c>
      <c r="BN105" s="297" t="s">
        <v>40</v>
      </c>
      <c r="BO105" s="297" t="s">
        <v>40</v>
      </c>
      <c r="BP105" s="297" t="s">
        <v>40</v>
      </c>
      <c r="BQ105" s="297" t="s">
        <v>40</v>
      </c>
      <c r="BR105" s="297" t="s">
        <v>40</v>
      </c>
      <c r="BS105" s="297" t="s">
        <v>40</v>
      </c>
      <c r="BT105" s="297" t="s">
        <v>40</v>
      </c>
      <c r="BU105" s="297" t="s">
        <v>40</v>
      </c>
      <c r="BV105" s="765" t="s">
        <v>40</v>
      </c>
      <c r="BW105" s="765" t="s">
        <v>40</v>
      </c>
      <c r="BX105" s="765" t="s">
        <v>40</v>
      </c>
      <c r="BY105" s="297" t="s">
        <v>40</v>
      </c>
      <c r="BZ105" s="297" t="s">
        <v>40</v>
      </c>
      <c r="CA105" s="297" t="s">
        <v>40</v>
      </c>
      <c r="DR105" s="253"/>
      <c r="DS105" s="253"/>
      <c r="DT105" s="253"/>
      <c r="DU105" s="253"/>
      <c r="DV105" s="253"/>
      <c r="DW105" s="253"/>
      <c r="DX105" s="253"/>
    </row>
    <row r="106" spans="1:128" hidden="1" x14ac:dyDescent="0.2">
      <c r="A106" s="276" t="s">
        <v>13</v>
      </c>
      <c r="B106" s="440" t="s">
        <v>35</v>
      </c>
      <c r="C106" s="276" t="s">
        <v>5</v>
      </c>
      <c r="D106" s="276"/>
      <c r="E106" s="276"/>
      <c r="F106" s="277">
        <v>19</v>
      </c>
      <c r="G106" s="277">
        <f>SUM($J$107,$H$107,$M$107,$P$107,$U$107,$X$107,$AA$107,$AD$107,$R$107)</f>
        <v>11</v>
      </c>
      <c r="H106" s="277">
        <f t="shared" ref="H106:AD106" si="165">SUM($J$107,$H$107,$M$107,$P$107,$U$107,$X$107,$AA$107,$AD$107,$R$107)</f>
        <v>11</v>
      </c>
      <c r="I106" s="277">
        <f t="shared" si="165"/>
        <v>11</v>
      </c>
      <c r="J106" s="277">
        <f t="shared" si="165"/>
        <v>11</v>
      </c>
      <c r="K106" s="277">
        <f t="shared" si="165"/>
        <v>11</v>
      </c>
      <c r="L106" s="277">
        <f t="shared" si="165"/>
        <v>11</v>
      </c>
      <c r="M106" s="277">
        <f t="shared" si="165"/>
        <v>11</v>
      </c>
      <c r="N106" s="277">
        <f t="shared" si="165"/>
        <v>11</v>
      </c>
      <c r="O106" s="277">
        <f t="shared" si="165"/>
        <v>11</v>
      </c>
      <c r="P106" s="277">
        <f t="shared" si="165"/>
        <v>11</v>
      </c>
      <c r="Q106" s="277">
        <f t="shared" si="165"/>
        <v>11</v>
      </c>
      <c r="R106" s="277">
        <f t="shared" si="165"/>
        <v>11</v>
      </c>
      <c r="S106" s="277">
        <f t="shared" si="165"/>
        <v>11</v>
      </c>
      <c r="T106" s="277">
        <f t="shared" si="165"/>
        <v>11</v>
      </c>
      <c r="U106" s="277">
        <f t="shared" si="165"/>
        <v>11</v>
      </c>
      <c r="V106" s="277">
        <f t="shared" si="165"/>
        <v>11</v>
      </c>
      <c r="W106" s="277">
        <f t="shared" si="165"/>
        <v>11</v>
      </c>
      <c r="X106" s="277">
        <f t="shared" si="165"/>
        <v>11</v>
      </c>
      <c r="Y106" s="277">
        <f t="shared" si="165"/>
        <v>11</v>
      </c>
      <c r="Z106" s="277">
        <f t="shared" si="165"/>
        <v>11</v>
      </c>
      <c r="AA106" s="277">
        <f t="shared" si="165"/>
        <v>11</v>
      </c>
      <c r="AB106" s="277">
        <f t="shared" si="165"/>
        <v>11</v>
      </c>
      <c r="AC106" s="277">
        <f t="shared" si="165"/>
        <v>11</v>
      </c>
      <c r="AD106" s="277">
        <f t="shared" si="165"/>
        <v>11</v>
      </c>
      <c r="AE106" s="277">
        <f t="shared" ref="AE106:AJ106" si="166">SUM($AG$107,$AJ$107)</f>
        <v>6</v>
      </c>
      <c r="AF106" s="277">
        <f t="shared" si="166"/>
        <v>6</v>
      </c>
      <c r="AG106" s="277">
        <f t="shared" si="166"/>
        <v>6</v>
      </c>
      <c r="AH106" s="277">
        <f t="shared" si="166"/>
        <v>6</v>
      </c>
      <c r="AI106" s="277">
        <f t="shared" si="166"/>
        <v>6</v>
      </c>
      <c r="AJ106" s="277">
        <f t="shared" si="166"/>
        <v>6</v>
      </c>
      <c r="AK106" s="276">
        <f>SUM($AN$107,$AQ$107)</f>
        <v>8</v>
      </c>
      <c r="AL106" s="276">
        <f t="shared" ref="AL106:AQ106" si="167">SUM($AN$107,$AQ$107)</f>
        <v>8</v>
      </c>
      <c r="AM106" s="276">
        <f t="shared" si="167"/>
        <v>8</v>
      </c>
      <c r="AN106" s="276">
        <f t="shared" si="167"/>
        <v>8</v>
      </c>
      <c r="AO106" s="276">
        <f t="shared" si="167"/>
        <v>8</v>
      </c>
      <c r="AP106" s="276">
        <f t="shared" si="167"/>
        <v>8</v>
      </c>
      <c r="AQ106" s="276">
        <f t="shared" si="167"/>
        <v>8</v>
      </c>
      <c r="AR106" s="276">
        <v>12</v>
      </c>
      <c r="AS106" s="276">
        <v>12</v>
      </c>
      <c r="AT106" s="276">
        <v>12</v>
      </c>
      <c r="AU106" s="276">
        <v>12</v>
      </c>
      <c r="AV106" s="276">
        <v>12</v>
      </c>
      <c r="AW106" s="276">
        <v>12</v>
      </c>
      <c r="AX106" s="276">
        <v>12</v>
      </c>
      <c r="AY106" s="276">
        <v>12</v>
      </c>
      <c r="AZ106" s="276">
        <v>12</v>
      </c>
      <c r="BA106" s="276">
        <v>12</v>
      </c>
      <c r="BB106" s="276">
        <v>12</v>
      </c>
      <c r="BC106" s="276">
        <v>12</v>
      </c>
      <c r="BD106" s="276">
        <v>12</v>
      </c>
      <c r="BE106" s="276">
        <v>12</v>
      </c>
      <c r="BF106" s="276">
        <v>12</v>
      </c>
      <c r="BG106" s="276">
        <v>12</v>
      </c>
      <c r="BH106" s="276">
        <v>12</v>
      </c>
      <c r="BI106" s="276">
        <v>12</v>
      </c>
      <c r="BJ106" s="276">
        <f t="shared" ref="BJ106:CA106" si="168">SUM($BM$107,$BQ$107,$BU$107,$BX$107,$CA$107)</f>
        <v>18</v>
      </c>
      <c r="BK106" s="276">
        <f t="shared" si="168"/>
        <v>18</v>
      </c>
      <c r="BL106" s="276">
        <f t="shared" si="168"/>
        <v>18</v>
      </c>
      <c r="BM106" s="276">
        <f t="shared" si="168"/>
        <v>18</v>
      </c>
      <c r="BN106" s="276">
        <f t="shared" si="168"/>
        <v>18</v>
      </c>
      <c r="BO106" s="276">
        <f t="shared" si="168"/>
        <v>18</v>
      </c>
      <c r="BP106" s="276">
        <f t="shared" si="168"/>
        <v>18</v>
      </c>
      <c r="BQ106" s="276">
        <f t="shared" si="168"/>
        <v>18</v>
      </c>
      <c r="BR106" s="276">
        <f t="shared" si="168"/>
        <v>18</v>
      </c>
      <c r="BS106" s="276">
        <f t="shared" si="168"/>
        <v>18</v>
      </c>
      <c r="BT106" s="276">
        <f t="shared" si="168"/>
        <v>18</v>
      </c>
      <c r="BU106" s="276">
        <f t="shared" si="168"/>
        <v>18</v>
      </c>
      <c r="BV106" s="276">
        <f t="shared" si="168"/>
        <v>18</v>
      </c>
      <c r="BW106" s="276">
        <f t="shared" si="168"/>
        <v>18</v>
      </c>
      <c r="BX106" s="276">
        <f t="shared" si="168"/>
        <v>18</v>
      </c>
      <c r="BY106" s="276">
        <f t="shared" si="168"/>
        <v>18</v>
      </c>
      <c r="BZ106" s="276">
        <f t="shared" si="168"/>
        <v>18</v>
      </c>
      <c r="CA106" s="276">
        <f t="shared" si="168"/>
        <v>18</v>
      </c>
      <c r="CC106" s="300"/>
      <c r="DR106" s="253"/>
      <c r="DS106" s="253"/>
      <c r="DT106" s="253"/>
      <c r="DU106" s="253"/>
      <c r="DV106" s="253"/>
      <c r="DW106" s="253"/>
      <c r="DX106" s="253"/>
    </row>
    <row r="107" spans="1:128" hidden="1" x14ac:dyDescent="0.2">
      <c r="A107" s="450" t="s">
        <v>14</v>
      </c>
      <c r="B107" s="440" t="s">
        <v>35</v>
      </c>
      <c r="C107" s="276" t="s">
        <v>5</v>
      </c>
      <c r="D107" s="276"/>
      <c r="E107" s="276"/>
      <c r="F107" s="301">
        <v>0</v>
      </c>
      <c r="G107" s="276">
        <v>0</v>
      </c>
      <c r="H107" s="440">
        <v>2</v>
      </c>
      <c r="I107" s="276">
        <v>0</v>
      </c>
      <c r="J107" s="440">
        <v>2</v>
      </c>
      <c r="K107" s="279">
        <v>0</v>
      </c>
      <c r="L107" s="279">
        <v>0</v>
      </c>
      <c r="M107" s="439">
        <v>1</v>
      </c>
      <c r="N107" s="276">
        <v>0</v>
      </c>
      <c r="O107" s="276">
        <v>0</v>
      </c>
      <c r="P107" s="440">
        <v>1</v>
      </c>
      <c r="Q107" s="276">
        <v>0</v>
      </c>
      <c r="R107" s="440">
        <v>1</v>
      </c>
      <c r="S107" s="284">
        <v>0</v>
      </c>
      <c r="T107" s="284">
        <v>0</v>
      </c>
      <c r="U107" s="439">
        <v>1</v>
      </c>
      <c r="V107" s="284">
        <v>0</v>
      </c>
      <c r="W107" s="284">
        <v>0</v>
      </c>
      <c r="X107" s="439">
        <v>1</v>
      </c>
      <c r="Y107" s="284">
        <v>0</v>
      </c>
      <c r="Z107" s="284">
        <v>0</v>
      </c>
      <c r="AA107" s="439">
        <v>1</v>
      </c>
      <c r="AB107" s="284">
        <v>0</v>
      </c>
      <c r="AC107" s="284">
        <v>0</v>
      </c>
      <c r="AD107" s="439">
        <v>1</v>
      </c>
      <c r="AE107" s="284">
        <v>0</v>
      </c>
      <c r="AF107" s="284">
        <v>0</v>
      </c>
      <c r="AG107" s="283">
        <v>3</v>
      </c>
      <c r="AH107" s="284">
        <v>0</v>
      </c>
      <c r="AI107" s="284">
        <v>0</v>
      </c>
      <c r="AJ107" s="283">
        <v>3</v>
      </c>
      <c r="AK107" s="276">
        <v>0</v>
      </c>
      <c r="AL107" s="276">
        <v>0</v>
      </c>
      <c r="AM107" s="276">
        <v>0</v>
      </c>
      <c r="AN107" s="440">
        <v>6</v>
      </c>
      <c r="AO107" s="276">
        <v>0</v>
      </c>
      <c r="AP107" s="276">
        <v>0</v>
      </c>
      <c r="AQ107" s="440">
        <v>2</v>
      </c>
      <c r="AR107" s="275">
        <v>0</v>
      </c>
      <c r="AS107" s="275">
        <v>0</v>
      </c>
      <c r="AT107" s="275">
        <v>0</v>
      </c>
      <c r="AU107" s="449">
        <v>0</v>
      </c>
      <c r="AV107" s="383">
        <v>0</v>
      </c>
      <c r="AW107" s="383">
        <v>0</v>
      </c>
      <c r="AX107" s="383">
        <v>0</v>
      </c>
      <c r="AY107" s="383">
        <v>0</v>
      </c>
      <c r="AZ107" s="449">
        <v>0</v>
      </c>
      <c r="BA107" s="383">
        <v>0</v>
      </c>
      <c r="BB107" s="383">
        <v>0</v>
      </c>
      <c r="BC107" s="383">
        <v>0</v>
      </c>
      <c r="BD107" s="440">
        <v>4</v>
      </c>
      <c r="BE107" s="275">
        <v>0</v>
      </c>
      <c r="BF107" s="275">
        <v>0</v>
      </c>
      <c r="BG107" s="275">
        <v>0</v>
      </c>
      <c r="BH107" s="275">
        <v>0</v>
      </c>
      <c r="BI107" s="440">
        <v>12</v>
      </c>
      <c r="BJ107" s="207">
        <v>0</v>
      </c>
      <c r="BK107" s="276">
        <v>0</v>
      </c>
      <c r="BL107" s="276">
        <v>0</v>
      </c>
      <c r="BM107" s="440">
        <v>8</v>
      </c>
      <c r="BN107" s="276">
        <v>0</v>
      </c>
      <c r="BO107" s="276">
        <v>0</v>
      </c>
      <c r="BP107" s="276">
        <v>0</v>
      </c>
      <c r="BQ107" s="440">
        <v>2</v>
      </c>
      <c r="BR107" s="276">
        <v>0</v>
      </c>
      <c r="BS107" s="276">
        <v>0</v>
      </c>
      <c r="BT107" s="276">
        <v>0</v>
      </c>
      <c r="BU107" s="440">
        <v>2</v>
      </c>
      <c r="BV107" s="764">
        <v>0</v>
      </c>
      <c r="BW107" s="764">
        <v>0</v>
      </c>
      <c r="BX107" s="440">
        <v>2</v>
      </c>
      <c r="BY107" s="276">
        <v>0</v>
      </c>
      <c r="BZ107" s="276">
        <v>0</v>
      </c>
      <c r="CA107" s="440">
        <v>4</v>
      </c>
      <c r="CC107" s="302">
        <f t="array" ref="CC107">SUM($F107:$CA107*$F$11:$CA$11)</f>
        <v>50</v>
      </c>
      <c r="DR107" s="253"/>
      <c r="DS107" s="253"/>
      <c r="DT107" s="253"/>
      <c r="DU107" s="253"/>
      <c r="DV107" s="253"/>
      <c r="DW107" s="253"/>
      <c r="DX107" s="253"/>
    </row>
    <row r="108" spans="1:128" s="423" customFormat="1" hidden="1" x14ac:dyDescent="0.2">
      <c r="A108" s="383" t="s">
        <v>39</v>
      </c>
      <c r="B108" s="383" t="s">
        <v>35</v>
      </c>
      <c r="C108" s="383"/>
      <c r="D108" s="383"/>
      <c r="E108" s="383"/>
      <c r="F108" s="661">
        <f t="shared" ref="F108" si="169">F106*F107/100*F$11</f>
        <v>0</v>
      </c>
      <c r="G108" s="661">
        <f t="shared" ref="G108:H108" si="170">G106*G107/100*G$11</f>
        <v>0</v>
      </c>
      <c r="H108" s="661">
        <f t="shared" si="170"/>
        <v>0</v>
      </c>
      <c r="I108" s="661"/>
      <c r="J108" s="661">
        <f>J106*J107/100*J$11</f>
        <v>0</v>
      </c>
      <c r="K108" s="661">
        <f t="shared" ref="K108:AC108" si="171">K106*K107/100*K$11</f>
        <v>0</v>
      </c>
      <c r="L108" s="661">
        <f t="shared" si="171"/>
        <v>0</v>
      </c>
      <c r="M108" s="661">
        <f t="shared" si="171"/>
        <v>0.11</v>
      </c>
      <c r="N108" s="661">
        <f t="shared" si="171"/>
        <v>0</v>
      </c>
      <c r="O108" s="661">
        <f t="shared" si="171"/>
        <v>0</v>
      </c>
      <c r="P108" s="661">
        <f t="shared" si="171"/>
        <v>0.11</v>
      </c>
      <c r="Q108" s="661">
        <f t="shared" si="171"/>
        <v>0</v>
      </c>
      <c r="R108" s="661">
        <f t="shared" si="171"/>
        <v>0.11</v>
      </c>
      <c r="S108" s="661">
        <f t="shared" ref="S108:X108" si="172">S106*S107/100*S$11</f>
        <v>0</v>
      </c>
      <c r="T108" s="661">
        <f t="shared" si="172"/>
        <v>0</v>
      </c>
      <c r="U108" s="661">
        <f t="shared" si="172"/>
        <v>0.11</v>
      </c>
      <c r="V108" s="661">
        <f t="shared" si="172"/>
        <v>0</v>
      </c>
      <c r="W108" s="661">
        <f t="shared" si="172"/>
        <v>0</v>
      </c>
      <c r="X108" s="661">
        <f t="shared" si="172"/>
        <v>0.11</v>
      </c>
      <c r="Y108" s="661">
        <f t="shared" si="171"/>
        <v>0</v>
      </c>
      <c r="Z108" s="661">
        <f t="shared" si="171"/>
        <v>0</v>
      </c>
      <c r="AA108" s="661">
        <f t="shared" si="171"/>
        <v>0.11</v>
      </c>
      <c r="AB108" s="661">
        <f t="shared" si="171"/>
        <v>0</v>
      </c>
      <c r="AC108" s="661">
        <f t="shared" si="171"/>
        <v>0</v>
      </c>
      <c r="AD108" s="661">
        <f t="shared" ref="AD108:AJ108" si="173">AD106*AD107/100*AD$11</f>
        <v>0</v>
      </c>
      <c r="AE108" s="661">
        <f t="shared" si="173"/>
        <v>0</v>
      </c>
      <c r="AF108" s="661">
        <f t="shared" si="173"/>
        <v>0</v>
      </c>
      <c r="AG108" s="661">
        <f t="shared" si="173"/>
        <v>0.18</v>
      </c>
      <c r="AH108" s="661">
        <f t="shared" si="173"/>
        <v>0</v>
      </c>
      <c r="AI108" s="661">
        <f t="shared" si="173"/>
        <v>0</v>
      </c>
      <c r="AJ108" s="661">
        <f t="shared" si="173"/>
        <v>0.18</v>
      </c>
      <c r="AK108" s="661">
        <f t="shared" ref="AK108:AQ108" si="174">AK106*AK107/100*AK$11</f>
        <v>0</v>
      </c>
      <c r="AL108" s="661">
        <f t="shared" si="174"/>
        <v>0</v>
      </c>
      <c r="AM108" s="661">
        <f t="shared" si="174"/>
        <v>0</v>
      </c>
      <c r="AN108" s="661">
        <f t="shared" si="174"/>
        <v>0.48</v>
      </c>
      <c r="AO108" s="661">
        <f t="shared" si="174"/>
        <v>0</v>
      </c>
      <c r="AP108" s="661">
        <f t="shared" si="174"/>
        <v>0</v>
      </c>
      <c r="AQ108" s="661">
        <f t="shared" si="174"/>
        <v>0.16</v>
      </c>
      <c r="AR108" s="661">
        <f t="shared" ref="AR108:CA108" si="175">AR106*AR107/100*AR$11</f>
        <v>0</v>
      </c>
      <c r="AS108" s="661">
        <f t="shared" si="175"/>
        <v>0</v>
      </c>
      <c r="AT108" s="661"/>
      <c r="AU108" s="661">
        <f t="shared" si="175"/>
        <v>0</v>
      </c>
      <c r="AV108" s="661">
        <f>AV106*AV107/100*AV$11</f>
        <v>0</v>
      </c>
      <c r="AW108" s="661">
        <f>AW106*AW107/100*AW$11</f>
        <v>0</v>
      </c>
      <c r="AX108" s="661">
        <f>AX106*AX107/100*AX$11</f>
        <v>0</v>
      </c>
      <c r="AY108" s="661">
        <f t="shared" si="175"/>
        <v>0</v>
      </c>
      <c r="AZ108" s="661"/>
      <c r="BA108" s="661">
        <f>BA106*BA107/100*BA$11</f>
        <v>0</v>
      </c>
      <c r="BB108" s="661">
        <f t="shared" si="175"/>
        <v>0</v>
      </c>
      <c r="BC108" s="661">
        <f>BC106*BC107/100*BC$11</f>
        <v>0</v>
      </c>
      <c r="BD108" s="661">
        <f>BD106*BD107/100*BD$11</f>
        <v>0</v>
      </c>
      <c r="BE108" s="661">
        <f>BE106*BE107/100*BE$11</f>
        <v>0</v>
      </c>
      <c r="BF108" s="661">
        <f>BF106*BF107/100*BF$11</f>
        <v>0</v>
      </c>
      <c r="BG108" s="661"/>
      <c r="BH108" s="661">
        <f>BH106*BH107/100*BH$11</f>
        <v>0</v>
      </c>
      <c r="BI108" s="661">
        <f>BI106*BI107/100*BI$11</f>
        <v>1.44</v>
      </c>
      <c r="BJ108" s="661">
        <f>BJ106*BJ107/100*BJ$11</f>
        <v>0</v>
      </c>
      <c r="BK108" s="661">
        <f t="shared" si="175"/>
        <v>0</v>
      </c>
      <c r="BL108" s="661">
        <f>BL106*BL107/100*BL$11</f>
        <v>0</v>
      </c>
      <c r="BM108" s="661">
        <f t="shared" si="175"/>
        <v>1.44</v>
      </c>
      <c r="BN108" s="661">
        <f t="shared" si="175"/>
        <v>0</v>
      </c>
      <c r="BO108" s="661">
        <f t="shared" si="175"/>
        <v>0</v>
      </c>
      <c r="BP108" s="661">
        <f t="shared" si="175"/>
        <v>0</v>
      </c>
      <c r="BQ108" s="661">
        <f t="shared" si="175"/>
        <v>0.36</v>
      </c>
      <c r="BR108" s="661">
        <f t="shared" si="175"/>
        <v>0</v>
      </c>
      <c r="BS108" s="661">
        <f t="shared" si="175"/>
        <v>0</v>
      </c>
      <c r="BT108" s="661">
        <f t="shared" si="175"/>
        <v>0</v>
      </c>
      <c r="BU108" s="661">
        <f t="shared" si="175"/>
        <v>0.36</v>
      </c>
      <c r="BV108" s="661">
        <f t="shared" si="175"/>
        <v>0</v>
      </c>
      <c r="BW108" s="661">
        <f t="shared" si="175"/>
        <v>0</v>
      </c>
      <c r="BX108" s="661">
        <f t="shared" si="175"/>
        <v>0.36</v>
      </c>
      <c r="BY108" s="661">
        <f t="shared" si="175"/>
        <v>0</v>
      </c>
      <c r="BZ108" s="661">
        <f t="shared" si="175"/>
        <v>0</v>
      </c>
      <c r="CA108" s="661">
        <f t="shared" si="175"/>
        <v>0.72</v>
      </c>
      <c r="CC108" s="662">
        <f t="array" ref="CC108">SUM($F108:$CA108*$F$11:$CA$11)</f>
        <v>6.34</v>
      </c>
      <c r="CD108" s="545"/>
      <c r="DE108" s="195"/>
      <c r="DF108" s="195"/>
      <c r="DG108" s="195"/>
      <c r="DH108" s="195"/>
      <c r="DI108" s="195"/>
      <c r="DJ108" s="195"/>
      <c r="DK108" s="195"/>
      <c r="DN108" s="195"/>
      <c r="DO108" s="253"/>
      <c r="DP108" s="253"/>
      <c r="DQ108" s="253"/>
      <c r="DR108" s="253"/>
      <c r="DS108" s="253"/>
      <c r="DT108" s="253"/>
      <c r="DU108" s="253"/>
      <c r="DV108" s="253"/>
      <c r="DW108" s="253"/>
      <c r="DX108" s="253"/>
    </row>
    <row r="109" spans="1:128" hidden="1" x14ac:dyDescent="0.2">
      <c r="A109" s="280" t="s">
        <v>8</v>
      </c>
      <c r="B109" s="280" t="s">
        <v>35</v>
      </c>
      <c r="C109" s="280" t="s">
        <v>41</v>
      </c>
      <c r="D109" s="280"/>
      <c r="E109" s="280"/>
      <c r="F109" s="303">
        <f>1/3</f>
        <v>0.33333333333333331</v>
      </c>
      <c r="G109" s="280"/>
      <c r="H109" s="280">
        <v>1</v>
      </c>
      <c r="I109" s="280"/>
      <c r="J109" s="280">
        <v>1</v>
      </c>
      <c r="K109" s="281"/>
      <c r="L109" s="281"/>
      <c r="M109" s="281">
        <v>1</v>
      </c>
      <c r="N109" s="280"/>
      <c r="O109" s="280"/>
      <c r="P109" s="280">
        <v>1</v>
      </c>
      <c r="Q109" s="280"/>
      <c r="R109" s="280">
        <v>1</v>
      </c>
      <c r="S109" s="281"/>
      <c r="T109" s="281"/>
      <c r="U109" s="281">
        <v>1</v>
      </c>
      <c r="V109" s="281"/>
      <c r="W109" s="281"/>
      <c r="X109" s="281">
        <v>1</v>
      </c>
      <c r="Y109" s="281"/>
      <c r="Z109" s="281"/>
      <c r="AA109" s="281">
        <v>1</v>
      </c>
      <c r="AB109" s="281"/>
      <c r="AC109" s="281"/>
      <c r="AD109" s="281">
        <v>1</v>
      </c>
      <c r="AE109" s="281"/>
      <c r="AF109" s="281"/>
      <c r="AG109" s="281">
        <v>1</v>
      </c>
      <c r="AH109" s="281"/>
      <c r="AI109" s="281"/>
      <c r="AJ109" s="281">
        <v>1</v>
      </c>
      <c r="AK109" s="280"/>
      <c r="AL109" s="280"/>
      <c r="AM109" s="280"/>
      <c r="AN109" s="280">
        <v>1</v>
      </c>
      <c r="AO109" s="280"/>
      <c r="AP109" s="280"/>
      <c r="AQ109" s="280">
        <v>1</v>
      </c>
      <c r="AR109" s="280"/>
      <c r="AS109" s="280"/>
      <c r="AT109" s="280"/>
      <c r="AU109" s="280">
        <v>1</v>
      </c>
      <c r="AV109" s="280"/>
      <c r="AW109" s="280"/>
      <c r="AX109" s="280"/>
      <c r="AY109" s="280"/>
      <c r="AZ109" s="280"/>
      <c r="BA109" s="280">
        <v>1</v>
      </c>
      <c r="BB109" s="280">
        <v>1</v>
      </c>
      <c r="BC109" s="280">
        <v>2</v>
      </c>
      <c r="BD109" s="280">
        <v>2</v>
      </c>
      <c r="BE109" s="280"/>
      <c r="BF109" s="280"/>
      <c r="BG109" s="280"/>
      <c r="BH109" s="280">
        <v>1</v>
      </c>
      <c r="BI109" s="280">
        <v>1</v>
      </c>
      <c r="BJ109" s="280"/>
      <c r="BK109" s="280"/>
      <c r="BL109" s="280"/>
      <c r="BM109" s="280">
        <v>1</v>
      </c>
      <c r="BN109" s="280"/>
      <c r="BO109" s="280"/>
      <c r="BP109" s="280"/>
      <c r="BQ109" s="280">
        <v>1</v>
      </c>
      <c r="BR109" s="280"/>
      <c r="BS109" s="280"/>
      <c r="BT109" s="280"/>
      <c r="BU109" s="280">
        <v>1</v>
      </c>
      <c r="BV109" s="280"/>
      <c r="BW109" s="280"/>
      <c r="BX109" s="280">
        <v>1</v>
      </c>
      <c r="BY109" s="280"/>
      <c r="BZ109" s="280"/>
      <c r="CA109" s="280">
        <v>1</v>
      </c>
      <c r="CC109" s="300"/>
      <c r="DR109" s="253"/>
      <c r="DS109" s="253"/>
      <c r="DT109" s="253"/>
      <c r="DU109" s="253"/>
      <c r="DV109" s="253"/>
      <c r="DW109" s="253"/>
      <c r="DX109" s="253"/>
    </row>
    <row r="110" spans="1:128" hidden="1" x14ac:dyDescent="0.2">
      <c r="CC110" s="304"/>
      <c r="DR110" s="253"/>
      <c r="DS110" s="253"/>
      <c r="DT110" s="253"/>
      <c r="DU110" s="253"/>
      <c r="DV110" s="253"/>
      <c r="DW110" s="253"/>
      <c r="DX110" s="253"/>
    </row>
    <row r="111" spans="1:128" s="278" customFormat="1" hidden="1" x14ac:dyDescent="0.2">
      <c r="A111" s="276" t="s">
        <v>13</v>
      </c>
      <c r="B111" s="212" t="s">
        <v>7</v>
      </c>
      <c r="C111" s="276" t="s">
        <v>5</v>
      </c>
      <c r="D111" s="276"/>
      <c r="E111" s="276"/>
      <c r="F111" s="279">
        <f t="shared" ref="F111:AJ111" si="176">F106</f>
        <v>19</v>
      </c>
      <c r="G111" s="276">
        <f t="shared" si="176"/>
        <v>11</v>
      </c>
      <c r="H111" s="276">
        <f t="shared" si="176"/>
        <v>11</v>
      </c>
      <c r="I111" s="276">
        <f t="shared" si="176"/>
        <v>11</v>
      </c>
      <c r="J111" s="276">
        <f t="shared" si="176"/>
        <v>11</v>
      </c>
      <c r="K111" s="279">
        <f t="shared" si="176"/>
        <v>11</v>
      </c>
      <c r="L111" s="279">
        <f t="shared" si="176"/>
        <v>11</v>
      </c>
      <c r="M111" s="279">
        <f t="shared" si="176"/>
        <v>11</v>
      </c>
      <c r="N111" s="279">
        <f t="shared" si="176"/>
        <v>11</v>
      </c>
      <c r="O111" s="279">
        <f t="shared" si="176"/>
        <v>11</v>
      </c>
      <c r="P111" s="279">
        <f t="shared" si="176"/>
        <v>11</v>
      </c>
      <c r="Q111" s="279">
        <f t="shared" si="176"/>
        <v>11</v>
      </c>
      <c r="R111" s="279">
        <f t="shared" si="176"/>
        <v>11</v>
      </c>
      <c r="S111" s="279">
        <f t="shared" ref="S111:X111" si="177">S106</f>
        <v>11</v>
      </c>
      <c r="T111" s="279">
        <f t="shared" si="177"/>
        <v>11</v>
      </c>
      <c r="U111" s="279">
        <f t="shared" si="177"/>
        <v>11</v>
      </c>
      <c r="V111" s="279">
        <f t="shared" si="177"/>
        <v>11</v>
      </c>
      <c r="W111" s="279">
        <f t="shared" si="177"/>
        <v>11</v>
      </c>
      <c r="X111" s="279">
        <f t="shared" si="177"/>
        <v>11</v>
      </c>
      <c r="Y111" s="279">
        <f t="shared" ref="Y111:AD111" si="178">Y106</f>
        <v>11</v>
      </c>
      <c r="Z111" s="279">
        <f t="shared" si="178"/>
        <v>11</v>
      </c>
      <c r="AA111" s="279">
        <f t="shared" si="178"/>
        <v>11</v>
      </c>
      <c r="AB111" s="279">
        <f t="shared" si="178"/>
        <v>11</v>
      </c>
      <c r="AC111" s="279">
        <f t="shared" si="178"/>
        <v>11</v>
      </c>
      <c r="AD111" s="279">
        <f t="shared" si="178"/>
        <v>11</v>
      </c>
      <c r="AE111" s="279">
        <f t="shared" ref="AE111:AG112" si="179">AE106</f>
        <v>6</v>
      </c>
      <c r="AF111" s="279">
        <f t="shared" si="179"/>
        <v>6</v>
      </c>
      <c r="AG111" s="279">
        <f t="shared" si="179"/>
        <v>6</v>
      </c>
      <c r="AH111" s="279">
        <f t="shared" si="176"/>
        <v>6</v>
      </c>
      <c r="AI111" s="279">
        <f t="shared" si="176"/>
        <v>6</v>
      </c>
      <c r="AJ111" s="279">
        <f t="shared" si="176"/>
        <v>6</v>
      </c>
      <c r="AK111" s="276">
        <f t="shared" ref="AK111:AQ111" si="180">AK106</f>
        <v>8</v>
      </c>
      <c r="AL111" s="276">
        <f t="shared" si="180"/>
        <v>8</v>
      </c>
      <c r="AM111" s="276">
        <f t="shared" si="180"/>
        <v>8</v>
      </c>
      <c r="AN111" s="276">
        <f t="shared" si="180"/>
        <v>8</v>
      </c>
      <c r="AO111" s="276">
        <f t="shared" si="180"/>
        <v>8</v>
      </c>
      <c r="AP111" s="276">
        <f t="shared" si="180"/>
        <v>8</v>
      </c>
      <c r="AQ111" s="276">
        <f t="shared" si="180"/>
        <v>8</v>
      </c>
      <c r="AR111" s="276">
        <f t="shared" ref="AR111:CA111" si="181">AR106</f>
        <v>12</v>
      </c>
      <c r="AS111" s="276">
        <f t="shared" si="181"/>
        <v>12</v>
      </c>
      <c r="AT111" s="276">
        <f t="shared" si="181"/>
        <v>12</v>
      </c>
      <c r="AU111" s="276">
        <f t="shared" si="181"/>
        <v>12</v>
      </c>
      <c r="AV111" s="276">
        <f t="shared" ref="AV111:AX112" si="182">AV106</f>
        <v>12</v>
      </c>
      <c r="AW111" s="276">
        <f t="shared" si="182"/>
        <v>12</v>
      </c>
      <c r="AX111" s="276">
        <f t="shared" si="182"/>
        <v>12</v>
      </c>
      <c r="AY111" s="276">
        <f t="shared" si="181"/>
        <v>12</v>
      </c>
      <c r="AZ111" s="276">
        <f>AZ106</f>
        <v>12</v>
      </c>
      <c r="BA111" s="276">
        <f t="shared" si="181"/>
        <v>12</v>
      </c>
      <c r="BB111" s="276">
        <f t="shared" si="181"/>
        <v>12</v>
      </c>
      <c r="BC111" s="276">
        <f t="shared" si="181"/>
        <v>12</v>
      </c>
      <c r="BD111" s="276">
        <f t="shared" si="181"/>
        <v>12</v>
      </c>
      <c r="BE111" s="276">
        <f t="shared" si="181"/>
        <v>12</v>
      </c>
      <c r="BF111" s="276">
        <f t="shared" si="181"/>
        <v>12</v>
      </c>
      <c r="BG111" s="276">
        <f t="shared" si="181"/>
        <v>12</v>
      </c>
      <c r="BH111" s="276">
        <f t="shared" si="181"/>
        <v>12</v>
      </c>
      <c r="BI111" s="276">
        <f t="shared" si="181"/>
        <v>12</v>
      </c>
      <c r="BJ111" s="276">
        <f t="shared" si="181"/>
        <v>18</v>
      </c>
      <c r="BK111" s="276">
        <f t="shared" si="181"/>
        <v>18</v>
      </c>
      <c r="BL111" s="276">
        <f t="shared" si="181"/>
        <v>18</v>
      </c>
      <c r="BM111" s="276">
        <f t="shared" si="181"/>
        <v>18</v>
      </c>
      <c r="BN111" s="276">
        <f t="shared" si="181"/>
        <v>18</v>
      </c>
      <c r="BO111" s="276">
        <f t="shared" si="181"/>
        <v>18</v>
      </c>
      <c r="BP111" s="276">
        <f t="shared" si="181"/>
        <v>18</v>
      </c>
      <c r="BQ111" s="276">
        <f t="shared" si="181"/>
        <v>18</v>
      </c>
      <c r="BR111" s="276">
        <f t="shared" si="181"/>
        <v>18</v>
      </c>
      <c r="BS111" s="276">
        <f t="shared" si="181"/>
        <v>18</v>
      </c>
      <c r="BT111" s="276">
        <f t="shared" si="181"/>
        <v>18</v>
      </c>
      <c r="BU111" s="276">
        <f t="shared" si="181"/>
        <v>18</v>
      </c>
      <c r="BV111" s="276">
        <f t="shared" si="181"/>
        <v>18</v>
      </c>
      <c r="BW111" s="276">
        <f t="shared" si="181"/>
        <v>18</v>
      </c>
      <c r="BX111" s="276">
        <f t="shared" si="181"/>
        <v>18</v>
      </c>
      <c r="BY111" s="276">
        <f t="shared" si="181"/>
        <v>18</v>
      </c>
      <c r="BZ111" s="276">
        <f t="shared" si="181"/>
        <v>18</v>
      </c>
      <c r="CA111" s="276">
        <f t="shared" si="181"/>
        <v>18</v>
      </c>
      <c r="CC111" s="300"/>
      <c r="CD111" s="261"/>
      <c r="CE111" s="189"/>
      <c r="DD111" s="189"/>
      <c r="DE111" s="253"/>
      <c r="DF111" s="253"/>
      <c r="DG111" s="253"/>
      <c r="DH111" s="253"/>
      <c r="DI111" s="253"/>
      <c r="DJ111" s="253"/>
      <c r="DK111" s="253"/>
      <c r="DN111" s="253"/>
      <c r="DO111" s="253"/>
      <c r="DP111" s="253"/>
      <c r="DQ111" s="253"/>
      <c r="DR111" s="253"/>
      <c r="DS111" s="253"/>
      <c r="DT111" s="253"/>
      <c r="DU111" s="253"/>
      <c r="DV111" s="253"/>
      <c r="DW111" s="253"/>
      <c r="DX111" s="253"/>
    </row>
    <row r="112" spans="1:128" s="278" customFormat="1" hidden="1" x14ac:dyDescent="0.2">
      <c r="A112" s="305" t="s">
        <v>14</v>
      </c>
      <c r="B112" s="305" t="s">
        <v>7</v>
      </c>
      <c r="C112" s="305" t="s">
        <v>5</v>
      </c>
      <c r="D112" s="305"/>
      <c r="E112" s="305"/>
      <c r="F112" s="301">
        <v>0</v>
      </c>
      <c r="G112" s="276">
        <f t="shared" ref="G112:AI112" si="183">G107</f>
        <v>0</v>
      </c>
      <c r="H112" s="207">
        <f t="shared" si="183"/>
        <v>2</v>
      </c>
      <c r="I112" s="764">
        <f t="shared" si="183"/>
        <v>0</v>
      </c>
      <c r="J112" s="207">
        <f t="shared" si="183"/>
        <v>2</v>
      </c>
      <c r="K112" s="276">
        <f t="shared" si="183"/>
        <v>0</v>
      </c>
      <c r="L112" s="284">
        <f t="shared" si="183"/>
        <v>0</v>
      </c>
      <c r="M112" s="283">
        <f t="shared" si="183"/>
        <v>1</v>
      </c>
      <c r="N112" s="284">
        <f t="shared" si="183"/>
        <v>0</v>
      </c>
      <c r="O112" s="284">
        <f t="shared" si="183"/>
        <v>0</v>
      </c>
      <c r="P112" s="283">
        <f t="shared" si="183"/>
        <v>1</v>
      </c>
      <c r="Q112" s="279">
        <f t="shared" si="183"/>
        <v>0</v>
      </c>
      <c r="R112" s="283">
        <f t="shared" si="183"/>
        <v>1</v>
      </c>
      <c r="S112" s="284">
        <f t="shared" si="183"/>
        <v>0</v>
      </c>
      <c r="T112" s="284">
        <f t="shared" si="183"/>
        <v>0</v>
      </c>
      <c r="U112" s="283">
        <f t="shared" si="183"/>
        <v>1</v>
      </c>
      <c r="V112" s="284">
        <f t="shared" ref="V112:AD112" si="184">V107</f>
        <v>0</v>
      </c>
      <c r="W112" s="284">
        <f t="shared" si="184"/>
        <v>0</v>
      </c>
      <c r="X112" s="283">
        <f t="shared" si="184"/>
        <v>1</v>
      </c>
      <c r="Y112" s="284">
        <f t="shared" si="184"/>
        <v>0</v>
      </c>
      <c r="Z112" s="284">
        <f t="shared" si="184"/>
        <v>0</v>
      </c>
      <c r="AA112" s="283">
        <f t="shared" si="184"/>
        <v>1</v>
      </c>
      <c r="AB112" s="284">
        <f t="shared" si="184"/>
        <v>0</v>
      </c>
      <c r="AC112" s="284">
        <f t="shared" si="184"/>
        <v>0</v>
      </c>
      <c r="AD112" s="283">
        <f t="shared" si="184"/>
        <v>1</v>
      </c>
      <c r="AE112" s="284">
        <f t="shared" si="179"/>
        <v>0</v>
      </c>
      <c r="AF112" s="284">
        <f t="shared" si="179"/>
        <v>0</v>
      </c>
      <c r="AG112" s="283">
        <f t="shared" si="179"/>
        <v>3</v>
      </c>
      <c r="AH112" s="284">
        <f t="shared" si="183"/>
        <v>0</v>
      </c>
      <c r="AI112" s="284">
        <f t="shared" si="183"/>
        <v>0</v>
      </c>
      <c r="AJ112" s="283">
        <f>AJ107</f>
        <v>3</v>
      </c>
      <c r="AK112" s="276">
        <f t="shared" ref="AK112:AQ112" si="185">AK107</f>
        <v>0</v>
      </c>
      <c r="AL112" s="276">
        <f t="shared" si="185"/>
        <v>0</v>
      </c>
      <c r="AM112" s="276">
        <f t="shared" si="185"/>
        <v>0</v>
      </c>
      <c r="AN112" s="207">
        <f t="shared" si="185"/>
        <v>6</v>
      </c>
      <c r="AO112" s="276">
        <f t="shared" si="185"/>
        <v>0</v>
      </c>
      <c r="AP112" s="276">
        <f t="shared" si="185"/>
        <v>0</v>
      </c>
      <c r="AQ112" s="207">
        <f t="shared" si="185"/>
        <v>2</v>
      </c>
      <c r="AR112" s="187">
        <f t="shared" ref="AR112:CA112" si="186">AR107</f>
        <v>0</v>
      </c>
      <c r="AS112" s="187">
        <f t="shared" si="186"/>
        <v>0</v>
      </c>
      <c r="AT112" s="187">
        <f t="shared" si="186"/>
        <v>0</v>
      </c>
      <c r="AU112" s="187">
        <f t="shared" si="186"/>
        <v>0</v>
      </c>
      <c r="AV112" s="276">
        <f t="shared" si="182"/>
        <v>0</v>
      </c>
      <c r="AW112" s="276">
        <f t="shared" si="182"/>
        <v>0</v>
      </c>
      <c r="AX112" s="276">
        <f t="shared" si="182"/>
        <v>0</v>
      </c>
      <c r="AY112" s="276">
        <f t="shared" si="186"/>
        <v>0</v>
      </c>
      <c r="AZ112" s="187">
        <f>AZ107</f>
        <v>0</v>
      </c>
      <c r="BA112" s="207">
        <f t="shared" si="186"/>
        <v>0</v>
      </c>
      <c r="BB112" s="207">
        <f t="shared" si="186"/>
        <v>0</v>
      </c>
      <c r="BC112" s="207">
        <f t="shared" si="186"/>
        <v>0</v>
      </c>
      <c r="BD112" s="207">
        <f t="shared" si="186"/>
        <v>4</v>
      </c>
      <c r="BE112" s="276">
        <f t="shared" si="186"/>
        <v>0</v>
      </c>
      <c r="BF112" s="276">
        <f t="shared" si="186"/>
        <v>0</v>
      </c>
      <c r="BG112" s="276">
        <f t="shared" si="186"/>
        <v>0</v>
      </c>
      <c r="BH112" s="207">
        <f t="shared" si="186"/>
        <v>0</v>
      </c>
      <c r="BI112" s="207">
        <f t="shared" si="186"/>
        <v>12</v>
      </c>
      <c r="BJ112" s="276">
        <f t="shared" si="186"/>
        <v>0</v>
      </c>
      <c r="BK112" s="276">
        <f t="shared" si="186"/>
        <v>0</v>
      </c>
      <c r="BL112" s="276">
        <f t="shared" si="186"/>
        <v>0</v>
      </c>
      <c r="BM112" s="207">
        <f t="shared" si="186"/>
        <v>8</v>
      </c>
      <c r="BN112" s="276">
        <f t="shared" si="186"/>
        <v>0</v>
      </c>
      <c r="BO112" s="276">
        <f t="shared" si="186"/>
        <v>0</v>
      </c>
      <c r="BP112" s="276">
        <f t="shared" si="186"/>
        <v>0</v>
      </c>
      <c r="BQ112" s="207">
        <f t="shared" si="186"/>
        <v>2</v>
      </c>
      <c r="BR112" s="276">
        <f t="shared" si="186"/>
        <v>0</v>
      </c>
      <c r="BS112" s="276">
        <f t="shared" si="186"/>
        <v>0</v>
      </c>
      <c r="BT112" s="276">
        <f t="shared" si="186"/>
        <v>0</v>
      </c>
      <c r="BU112" s="207">
        <f t="shared" si="186"/>
        <v>2</v>
      </c>
      <c r="BV112" s="276">
        <f t="shared" si="186"/>
        <v>0</v>
      </c>
      <c r="BW112" s="276">
        <f t="shared" si="186"/>
        <v>0</v>
      </c>
      <c r="BX112" s="207">
        <f t="shared" si="186"/>
        <v>2</v>
      </c>
      <c r="BY112" s="276">
        <f t="shared" si="186"/>
        <v>0</v>
      </c>
      <c r="BZ112" s="276">
        <f t="shared" si="186"/>
        <v>0</v>
      </c>
      <c r="CA112" s="207">
        <f t="shared" si="186"/>
        <v>4</v>
      </c>
      <c r="CC112" s="306">
        <f t="array" ref="CC112">SUM($F112:$CA112*$F$11:$CA$11)</f>
        <v>50</v>
      </c>
      <c r="CD112" s="261"/>
      <c r="CE112" s="189"/>
      <c r="DD112" s="189"/>
      <c r="DE112" s="253"/>
      <c r="DF112" s="253"/>
      <c r="DG112" s="253"/>
      <c r="DH112" s="253"/>
      <c r="DI112" s="253"/>
      <c r="DJ112" s="253"/>
      <c r="DK112" s="253"/>
      <c r="DN112" s="253"/>
      <c r="DO112" s="253"/>
      <c r="DP112" s="253"/>
      <c r="DQ112" s="253"/>
      <c r="DR112" s="253"/>
      <c r="DS112" s="253"/>
      <c r="DT112" s="253"/>
      <c r="DU112" s="253"/>
      <c r="DV112" s="253"/>
      <c r="DW112" s="253"/>
      <c r="DX112" s="253"/>
    </row>
    <row r="113" spans="1:128" s="423" customFormat="1" hidden="1" x14ac:dyDescent="0.2">
      <c r="A113" s="383" t="s">
        <v>39</v>
      </c>
      <c r="B113" s="383" t="s">
        <v>7</v>
      </c>
      <c r="C113" s="383"/>
      <c r="D113" s="383"/>
      <c r="E113" s="383"/>
      <c r="F113" s="661">
        <f t="shared" ref="F113" si="187">F111*F112/100*F$11</f>
        <v>0</v>
      </c>
      <c r="G113" s="661">
        <f t="shared" ref="G113:I113" si="188">G111*G112/100*G$11</f>
        <v>0</v>
      </c>
      <c r="H113" s="661">
        <f t="shared" si="188"/>
        <v>0</v>
      </c>
      <c r="I113" s="661">
        <f t="shared" si="188"/>
        <v>0</v>
      </c>
      <c r="J113" s="661">
        <f t="shared" ref="J113" si="189">J111*J112/100*J$11</f>
        <v>0</v>
      </c>
      <c r="K113" s="661">
        <f t="shared" ref="K113:AC113" si="190">K111*K112/100*K$11</f>
        <v>0</v>
      </c>
      <c r="L113" s="661">
        <f t="shared" si="190"/>
        <v>0</v>
      </c>
      <c r="M113" s="661">
        <f t="shared" si="190"/>
        <v>0.11</v>
      </c>
      <c r="N113" s="661">
        <f t="shared" si="190"/>
        <v>0</v>
      </c>
      <c r="O113" s="661">
        <f t="shared" si="190"/>
        <v>0</v>
      </c>
      <c r="P113" s="661">
        <f t="shared" si="190"/>
        <v>0.11</v>
      </c>
      <c r="Q113" s="661">
        <f t="shared" si="190"/>
        <v>0</v>
      </c>
      <c r="R113" s="661">
        <f t="shared" si="190"/>
        <v>0.11</v>
      </c>
      <c r="S113" s="661">
        <f t="shared" ref="S113:X113" si="191">S111*S112/100*S$11</f>
        <v>0</v>
      </c>
      <c r="T113" s="661">
        <f t="shared" si="191"/>
        <v>0</v>
      </c>
      <c r="U113" s="661">
        <f t="shared" si="191"/>
        <v>0.11</v>
      </c>
      <c r="V113" s="661">
        <f t="shared" si="191"/>
        <v>0</v>
      </c>
      <c r="W113" s="661">
        <f t="shared" si="191"/>
        <v>0</v>
      </c>
      <c r="X113" s="661">
        <f t="shared" si="191"/>
        <v>0.11</v>
      </c>
      <c r="Y113" s="661">
        <f t="shared" si="190"/>
        <v>0</v>
      </c>
      <c r="Z113" s="661">
        <f t="shared" si="190"/>
        <v>0</v>
      </c>
      <c r="AA113" s="661">
        <f t="shared" si="190"/>
        <v>0.11</v>
      </c>
      <c r="AB113" s="661">
        <f t="shared" si="190"/>
        <v>0</v>
      </c>
      <c r="AC113" s="661">
        <f t="shared" si="190"/>
        <v>0</v>
      </c>
      <c r="AD113" s="661">
        <f t="shared" ref="AD113" si="192">AD111*AD112/100*AD$11</f>
        <v>0</v>
      </c>
      <c r="AE113" s="661">
        <f t="shared" ref="AE113:AJ113" si="193">AE111*AE112/100*AE$11</f>
        <v>0</v>
      </c>
      <c r="AF113" s="661">
        <f t="shared" si="193"/>
        <v>0</v>
      </c>
      <c r="AG113" s="661">
        <f t="shared" si="193"/>
        <v>0.18</v>
      </c>
      <c r="AH113" s="661">
        <f t="shared" si="193"/>
        <v>0</v>
      </c>
      <c r="AI113" s="661">
        <f t="shared" si="193"/>
        <v>0</v>
      </c>
      <c r="AJ113" s="661">
        <f t="shared" si="193"/>
        <v>0.18</v>
      </c>
      <c r="AK113" s="661">
        <f t="shared" ref="AK113:AQ113" si="194">AK111*AK112/100*AK$11</f>
        <v>0</v>
      </c>
      <c r="AL113" s="661">
        <f t="shared" si="194"/>
        <v>0</v>
      </c>
      <c r="AM113" s="661">
        <f t="shared" si="194"/>
        <v>0</v>
      </c>
      <c r="AN113" s="661">
        <f t="shared" si="194"/>
        <v>0.48</v>
      </c>
      <c r="AO113" s="661">
        <f t="shared" si="194"/>
        <v>0</v>
      </c>
      <c r="AP113" s="661">
        <f t="shared" si="194"/>
        <v>0</v>
      </c>
      <c r="AQ113" s="661">
        <f t="shared" si="194"/>
        <v>0.16</v>
      </c>
      <c r="AR113" s="661">
        <f t="shared" ref="AR113:CA113" si="195">AR111*AR112/100*AR$11</f>
        <v>0</v>
      </c>
      <c r="AS113" s="661">
        <f t="shared" si="195"/>
        <v>0</v>
      </c>
      <c r="AT113" s="661">
        <f t="shared" si="195"/>
        <v>0</v>
      </c>
      <c r="AU113" s="661">
        <f t="shared" si="195"/>
        <v>0</v>
      </c>
      <c r="AV113" s="661">
        <f>AV111*AV112/100*AV$11</f>
        <v>0</v>
      </c>
      <c r="AW113" s="661">
        <f>AW111*AW112/100*AW$11</f>
        <v>0</v>
      </c>
      <c r="AX113" s="661">
        <f>AX111*AX112/100*AX$11</f>
        <v>0</v>
      </c>
      <c r="AY113" s="661">
        <f t="shared" si="195"/>
        <v>0</v>
      </c>
      <c r="AZ113" s="661">
        <f>AZ111*AZ112/100*AZ$11</f>
        <v>0</v>
      </c>
      <c r="BA113" s="661">
        <f t="shared" si="195"/>
        <v>0</v>
      </c>
      <c r="BB113" s="661">
        <f t="shared" si="195"/>
        <v>0</v>
      </c>
      <c r="BC113" s="661">
        <f t="shared" si="195"/>
        <v>0</v>
      </c>
      <c r="BD113" s="661">
        <f t="shared" si="195"/>
        <v>0</v>
      </c>
      <c r="BE113" s="661">
        <f t="shared" si="195"/>
        <v>0</v>
      </c>
      <c r="BF113" s="661">
        <f t="shared" si="195"/>
        <v>0</v>
      </c>
      <c r="BG113" s="661">
        <f t="shared" si="195"/>
        <v>0</v>
      </c>
      <c r="BH113" s="661">
        <f t="shared" si="195"/>
        <v>0</v>
      </c>
      <c r="BI113" s="661">
        <f t="shared" si="195"/>
        <v>1.44</v>
      </c>
      <c r="BJ113" s="661">
        <f t="shared" si="195"/>
        <v>0</v>
      </c>
      <c r="BK113" s="661">
        <f t="shared" si="195"/>
        <v>0</v>
      </c>
      <c r="BL113" s="661">
        <f t="shared" si="195"/>
        <v>0</v>
      </c>
      <c r="BM113" s="661">
        <f t="shared" si="195"/>
        <v>1.44</v>
      </c>
      <c r="BN113" s="661">
        <f t="shared" si="195"/>
        <v>0</v>
      </c>
      <c r="BO113" s="661">
        <f t="shared" si="195"/>
        <v>0</v>
      </c>
      <c r="BP113" s="661">
        <f t="shared" si="195"/>
        <v>0</v>
      </c>
      <c r="BQ113" s="661">
        <f t="shared" si="195"/>
        <v>0.36</v>
      </c>
      <c r="BR113" s="661">
        <f t="shared" si="195"/>
        <v>0</v>
      </c>
      <c r="BS113" s="661">
        <f t="shared" si="195"/>
        <v>0</v>
      </c>
      <c r="BT113" s="661">
        <f t="shared" si="195"/>
        <v>0</v>
      </c>
      <c r="BU113" s="661">
        <f t="shared" si="195"/>
        <v>0.36</v>
      </c>
      <c r="BV113" s="661"/>
      <c r="BW113" s="661"/>
      <c r="BX113" s="661">
        <f>BX108</f>
        <v>0.36</v>
      </c>
      <c r="BY113" s="661">
        <f t="shared" si="195"/>
        <v>0</v>
      </c>
      <c r="BZ113" s="661">
        <f t="shared" si="195"/>
        <v>0</v>
      </c>
      <c r="CA113" s="661">
        <f t="shared" si="195"/>
        <v>0.72</v>
      </c>
      <c r="CC113" s="662">
        <f t="array" ref="CC113">SUM($F113:$CA113*$F$11:$CA$11)</f>
        <v>6.34</v>
      </c>
      <c r="CD113" s="545"/>
      <c r="DE113" s="195"/>
      <c r="DF113" s="195"/>
      <c r="DG113" s="195"/>
      <c r="DH113" s="195"/>
      <c r="DI113" s="195"/>
      <c r="DJ113" s="195"/>
      <c r="DK113" s="195"/>
      <c r="DN113" s="195"/>
      <c r="DO113" s="253"/>
      <c r="DP113" s="253"/>
      <c r="DQ113" s="253"/>
      <c r="DR113" s="253"/>
      <c r="DS113" s="253"/>
      <c r="DT113" s="253"/>
      <c r="DU113" s="253"/>
      <c r="DV113" s="253"/>
      <c r="DW113" s="253"/>
      <c r="DX113" s="253"/>
    </row>
    <row r="114" spans="1:128" s="282" customFormat="1" hidden="1" x14ac:dyDescent="0.2">
      <c r="A114" s="280" t="s">
        <v>8</v>
      </c>
      <c r="B114" s="212" t="s">
        <v>7</v>
      </c>
      <c r="C114" s="280" t="s">
        <v>41</v>
      </c>
      <c r="D114" s="280"/>
      <c r="E114" s="280"/>
      <c r="F114" s="303">
        <f>1/3</f>
        <v>0.33333333333333331</v>
      </c>
      <c r="G114" s="280"/>
      <c r="H114" s="280">
        <v>1</v>
      </c>
      <c r="I114" s="280"/>
      <c r="J114" s="280">
        <v>1</v>
      </c>
      <c r="K114" s="281"/>
      <c r="L114" s="281"/>
      <c r="M114" s="281">
        <v>1</v>
      </c>
      <c r="N114" s="280"/>
      <c r="O114" s="280"/>
      <c r="P114" s="280">
        <v>1</v>
      </c>
      <c r="Q114" s="280"/>
      <c r="R114" s="280">
        <v>1</v>
      </c>
      <c r="S114" s="281"/>
      <c r="T114" s="281"/>
      <c r="U114" s="281">
        <v>1</v>
      </c>
      <c r="V114" s="281"/>
      <c r="W114" s="281"/>
      <c r="X114" s="281">
        <v>1</v>
      </c>
      <c r="Y114" s="281"/>
      <c r="Z114" s="281"/>
      <c r="AA114" s="281">
        <v>1</v>
      </c>
      <c r="AB114" s="281"/>
      <c r="AC114" s="281"/>
      <c r="AD114" s="281">
        <v>1</v>
      </c>
      <c r="AE114" s="281"/>
      <c r="AF114" s="281"/>
      <c r="AG114" s="281">
        <v>1</v>
      </c>
      <c r="AH114" s="281"/>
      <c r="AI114" s="281"/>
      <c r="AJ114" s="281">
        <v>1</v>
      </c>
      <c r="AK114" s="280"/>
      <c r="AL114" s="280"/>
      <c r="AM114" s="280"/>
      <c r="AN114" s="280">
        <v>1</v>
      </c>
      <c r="AO114" s="280"/>
      <c r="AP114" s="280"/>
      <c r="AQ114" s="280">
        <v>1</v>
      </c>
      <c r="AR114" s="280"/>
      <c r="AS114" s="280"/>
      <c r="AT114" s="280"/>
      <c r="AU114" s="280">
        <v>1</v>
      </c>
      <c r="AV114" s="280"/>
      <c r="AW114" s="280"/>
      <c r="AX114" s="280"/>
      <c r="AY114" s="280"/>
      <c r="AZ114" s="280">
        <v>1</v>
      </c>
      <c r="BA114" s="280"/>
      <c r="BB114" s="280"/>
      <c r="BC114" s="280"/>
      <c r="BD114" s="280">
        <v>1</v>
      </c>
      <c r="BE114" s="280"/>
      <c r="BF114" s="280"/>
      <c r="BG114" s="280"/>
      <c r="BH114" s="280">
        <v>1</v>
      </c>
      <c r="BI114" s="280">
        <v>1</v>
      </c>
      <c r="BJ114" s="280"/>
      <c r="BK114" s="280"/>
      <c r="BL114" s="280"/>
      <c r="BM114" s="280">
        <v>1</v>
      </c>
      <c r="BN114" s="280"/>
      <c r="BO114" s="280"/>
      <c r="BP114" s="280"/>
      <c r="BQ114" s="280">
        <v>1</v>
      </c>
      <c r="BR114" s="280"/>
      <c r="BS114" s="280"/>
      <c r="BT114" s="280"/>
      <c r="BU114" s="280">
        <v>1</v>
      </c>
      <c r="BV114" s="280"/>
      <c r="BW114" s="280"/>
      <c r="BX114" s="280">
        <v>1</v>
      </c>
      <c r="BY114" s="280"/>
      <c r="BZ114" s="280"/>
      <c r="CA114" s="280">
        <v>1</v>
      </c>
      <c r="CC114" s="300"/>
      <c r="CD114" s="261"/>
      <c r="CE114" s="189"/>
      <c r="DD114" s="189"/>
      <c r="DE114" s="253"/>
      <c r="DF114" s="253"/>
      <c r="DG114" s="253"/>
      <c r="DH114" s="253"/>
      <c r="DI114" s="253"/>
      <c r="DJ114" s="253"/>
      <c r="DK114" s="253"/>
      <c r="DN114" s="253"/>
      <c r="DO114" s="253"/>
      <c r="DP114" s="253"/>
      <c r="DQ114" s="253"/>
      <c r="DR114" s="253"/>
      <c r="DS114" s="253"/>
      <c r="DT114" s="253"/>
      <c r="DU114" s="253"/>
      <c r="DV114" s="253"/>
      <c r="DW114" s="253"/>
      <c r="DX114" s="253"/>
    </row>
    <row r="115" spans="1:128" x14ac:dyDescent="0.2">
      <c r="CC115" s="304"/>
      <c r="DR115" s="253"/>
      <c r="DS115" s="253"/>
      <c r="DT115" s="253"/>
      <c r="DU115" s="253"/>
      <c r="DV115" s="253"/>
      <c r="DW115" s="253"/>
      <c r="DX115" s="253"/>
    </row>
    <row r="116" spans="1:128" s="308" customFormat="1" x14ac:dyDescent="0.2">
      <c r="AR116" s="308" t="s">
        <v>270</v>
      </c>
      <c r="AS116" s="308" t="s">
        <v>270</v>
      </c>
      <c r="AV116" s="308" t="str">
        <f>'ДПО(Финансы)'!$R$12</f>
        <v>ДПО2024</v>
      </c>
      <c r="AW116" s="308" t="str">
        <f>'ИДО(Финансы)'!$R$12</f>
        <v>ИДО2024</v>
      </c>
      <c r="AX116" s="308" t="str">
        <f>'ДПО(Финансы)'!$S$12</f>
        <v>ДПО2023</v>
      </c>
      <c r="AY116" s="308" t="str">
        <f>'ИДО(Финансы)'!$S$12</f>
        <v>ИДО2023</v>
      </c>
      <c r="CC116" s="309"/>
      <c r="CD116" s="310"/>
      <c r="DE116" s="311"/>
      <c r="DF116" s="311"/>
      <c r="DG116" s="311"/>
      <c r="DH116" s="311"/>
      <c r="DI116" s="311"/>
      <c r="DJ116" s="311"/>
      <c r="DK116" s="311"/>
      <c r="DN116" s="311"/>
      <c r="DO116" s="253"/>
      <c r="DP116" s="253"/>
      <c r="DQ116" s="253"/>
      <c r="DR116" s="253"/>
      <c r="DS116" s="253"/>
      <c r="DT116" s="253"/>
      <c r="DU116" s="253"/>
      <c r="DV116" s="253"/>
      <c r="DW116" s="253"/>
      <c r="DX116" s="253"/>
    </row>
    <row r="117" spans="1:128" x14ac:dyDescent="0.2">
      <c r="DL117" s="307"/>
      <c r="DM117" s="307"/>
      <c r="DR117" s="253"/>
      <c r="DS117" s="253"/>
      <c r="DT117" s="253"/>
      <c r="DU117" s="253"/>
      <c r="DV117" s="253"/>
      <c r="DW117" s="253"/>
      <c r="DX117" s="253"/>
    </row>
    <row r="118" spans="1:128" x14ac:dyDescent="0.2">
      <c r="DR118" s="253"/>
      <c r="DS118" s="253"/>
      <c r="DT118" s="253"/>
      <c r="DU118" s="253"/>
      <c r="DV118" s="253"/>
      <c r="DW118" s="253"/>
      <c r="DX118" s="253"/>
    </row>
    <row r="119" spans="1:128" x14ac:dyDescent="0.2">
      <c r="DR119" s="253"/>
      <c r="DS119" s="253"/>
      <c r="DT119" s="253"/>
      <c r="DU119" s="253"/>
      <c r="DV119" s="253"/>
      <c r="DW119" s="253"/>
      <c r="DX119" s="253"/>
    </row>
    <row r="120" spans="1:128" x14ac:dyDescent="0.2">
      <c r="DR120" s="253"/>
      <c r="DS120" s="253"/>
      <c r="DT120" s="253"/>
      <c r="DU120" s="253"/>
      <c r="DV120" s="253"/>
      <c r="DW120" s="253"/>
      <c r="DX120" s="253"/>
    </row>
    <row r="121" spans="1:128" x14ac:dyDescent="0.2">
      <c r="DR121" s="253"/>
      <c r="DS121" s="253"/>
      <c r="DT121" s="253"/>
      <c r="DU121" s="253"/>
      <c r="DV121" s="253"/>
      <c r="DW121" s="253"/>
      <c r="DX121" s="253"/>
    </row>
    <row r="122" spans="1:128" x14ac:dyDescent="0.2">
      <c r="DR122" s="253"/>
      <c r="DS122" s="253"/>
      <c r="DT122" s="253"/>
      <c r="DU122" s="253"/>
      <c r="DV122" s="253"/>
      <c r="DW122" s="253"/>
      <c r="DX122" s="253"/>
    </row>
    <row r="123" spans="1:128" x14ac:dyDescent="0.2">
      <c r="DR123" s="253"/>
      <c r="DS123" s="253"/>
      <c r="DT123" s="253"/>
      <c r="DU123" s="253"/>
      <c r="DV123" s="253"/>
      <c r="DW123" s="253"/>
      <c r="DX123" s="253"/>
    </row>
  </sheetData>
  <sortState ref="A57:A58">
    <sortCondition ref="A57"/>
  </sortState>
  <mergeCells count="28">
    <mergeCell ref="BJ8:CA8"/>
    <mergeCell ref="BV9:BX9"/>
    <mergeCell ref="A9:C9"/>
    <mergeCell ref="BY9:CA9"/>
    <mergeCell ref="BN9:BQ9"/>
    <mergeCell ref="BR9:BU9"/>
    <mergeCell ref="AR9:AU9"/>
    <mergeCell ref="K9:M9"/>
    <mergeCell ref="BK9:BM9"/>
    <mergeCell ref="AO9:AQ9"/>
    <mergeCell ref="AH9:AJ9"/>
    <mergeCell ref="N9:P9"/>
    <mergeCell ref="G9:H9"/>
    <mergeCell ref="Y9:AA9"/>
    <mergeCell ref="S9:U9"/>
    <mergeCell ref="AK9:AN9"/>
    <mergeCell ref="BA9:BB9"/>
    <mergeCell ref="AE8:AJ8"/>
    <mergeCell ref="G8:AD8"/>
    <mergeCell ref="BE9:BH9"/>
    <mergeCell ref="AE9:AG9"/>
    <mergeCell ref="V9:X9"/>
    <mergeCell ref="AB9:AD9"/>
    <mergeCell ref="I9:J9"/>
    <mergeCell ref="AK8:AQ8"/>
    <mergeCell ref="AR8:BI8"/>
    <mergeCell ref="AV9:AZ9"/>
    <mergeCell ref="Q9:R9"/>
  </mergeCells>
  <conditionalFormatting sqref="CQ19:CU77 CG19:CM77">
    <cfRule type="expression" dxfId="264" priority="255">
      <formula>CG19=0</formula>
    </cfRule>
  </conditionalFormatting>
  <conditionalFormatting sqref="BD19:BD20 AH40:AI46 AG20:AJ20 AR76:AS78 AH21:AI38 AG21:AG46 AJ21:AJ46 AG47:AJ75 AX20:AX75 AZ20:BD75 AR20:AV75">
    <cfRule type="expression" dxfId="263" priority="237">
      <formula>$E19="Нет"</formula>
    </cfRule>
  </conditionalFormatting>
  <conditionalFormatting sqref="CO19:CP77">
    <cfRule type="expression" dxfId="262" priority="225">
      <formula>CO19=0</formula>
    </cfRule>
  </conditionalFormatting>
  <conditionalFormatting sqref="BM20:BM78">
    <cfRule type="cellIs" dxfId="261" priority="17" operator="between">
      <formula>$BM$17</formula>
      <formula>$BM$16</formula>
    </cfRule>
    <cfRule type="cellIs" dxfId="260" priority="210" operator="lessThan">
      <formula>$BM$17</formula>
    </cfRule>
  </conditionalFormatting>
  <conditionalFormatting sqref="BD19:BD75">
    <cfRule type="cellIs" dxfId="259" priority="201" operator="lessThan">
      <formula>$BD$16</formula>
    </cfRule>
  </conditionalFormatting>
  <conditionalFormatting sqref="AT19:AU75 AZ19:AZ75 BB19:BC75">
    <cfRule type="cellIs" dxfId="258" priority="199" operator="lessThan">
      <formula>AT$16</formula>
    </cfRule>
  </conditionalFormatting>
  <conditionalFormatting sqref="E19:F75">
    <cfRule type="cellIs" dxfId="257" priority="194" operator="equal">
      <formula>"нет"</formula>
    </cfRule>
  </conditionalFormatting>
  <conditionalFormatting sqref="M20:M75">
    <cfRule type="cellIs" dxfId="256" priority="51" operator="equal">
      <formula>$M$16</formula>
    </cfRule>
  </conditionalFormatting>
  <conditionalFormatting sqref="P20:P75">
    <cfRule type="cellIs" dxfId="255" priority="50" operator="lessThan">
      <formula>$P$16</formula>
    </cfRule>
  </conditionalFormatting>
  <conditionalFormatting sqref="U20:U75">
    <cfRule type="cellIs" dxfId="254" priority="49" operator="lessThan">
      <formula>$U$16</formula>
    </cfRule>
  </conditionalFormatting>
  <conditionalFormatting sqref="X20:X75">
    <cfRule type="cellIs" dxfId="253" priority="48" operator="equal">
      <formula>$X$16</formula>
    </cfRule>
  </conditionalFormatting>
  <conditionalFormatting sqref="AA20:AA75">
    <cfRule type="cellIs" dxfId="252" priority="47" operator="equal">
      <formula>$AA$16</formula>
    </cfRule>
  </conditionalFormatting>
  <conditionalFormatting sqref="AG20:AG75">
    <cfRule type="cellIs" dxfId="251" priority="46" operator="equal">
      <formula>$AG$16</formula>
    </cfRule>
  </conditionalFormatting>
  <conditionalFormatting sqref="AJ20:AJ75">
    <cfRule type="cellIs" dxfId="250" priority="45" operator="equal">
      <formula>$AJ$16</formula>
    </cfRule>
  </conditionalFormatting>
  <conditionalFormatting sqref="BI20:BI75">
    <cfRule type="cellIs" dxfId="249" priority="42" operator="lessThan">
      <formula>$BI$16</formula>
    </cfRule>
  </conditionalFormatting>
  <conditionalFormatting sqref="AG76:AJ78 AX76:AX78 AT76:AV78 AZ76:BD78">
    <cfRule type="expression" dxfId="248" priority="41">
      <formula>$E76="Нет"</formula>
    </cfRule>
  </conditionalFormatting>
  <conditionalFormatting sqref="BD76:BD78">
    <cfRule type="cellIs" dxfId="247" priority="38" operator="lessThan">
      <formula>$BD$16</formula>
    </cfRule>
  </conditionalFormatting>
  <conditionalFormatting sqref="BB76:BC78 AT76:AU78 AZ76:AZ78">
    <cfRule type="cellIs" dxfId="246" priority="37" operator="lessThan">
      <formula>AT$16</formula>
    </cfRule>
  </conditionalFormatting>
  <conditionalFormatting sqref="E76:F78">
    <cfRule type="cellIs" dxfId="245" priority="36" operator="equal">
      <formula>"нет"</formula>
    </cfRule>
  </conditionalFormatting>
  <conditionalFormatting sqref="M76:M78">
    <cfRule type="cellIs" dxfId="244" priority="32" operator="equal">
      <formula>$M$16</formula>
    </cfRule>
  </conditionalFormatting>
  <conditionalFormatting sqref="P76:P78">
    <cfRule type="cellIs" dxfId="243" priority="31" operator="lessThan">
      <formula>$P$16</formula>
    </cfRule>
  </conditionalFormatting>
  <conditionalFormatting sqref="U76:U78">
    <cfRule type="cellIs" dxfId="242" priority="30" operator="lessThan">
      <formula>$U$16</formula>
    </cfRule>
  </conditionalFormatting>
  <conditionalFormatting sqref="X76:X78">
    <cfRule type="cellIs" dxfId="241" priority="29" operator="equal">
      <formula>$X$16</formula>
    </cfRule>
  </conditionalFormatting>
  <conditionalFormatting sqref="AA76:AA78">
    <cfRule type="cellIs" dxfId="240" priority="28" operator="equal">
      <formula>$AA$16</formula>
    </cfRule>
  </conditionalFormatting>
  <conditionalFormatting sqref="AG76:AG78">
    <cfRule type="cellIs" dxfId="239" priority="27" operator="equal">
      <formula>$AG$16</formula>
    </cfRule>
  </conditionalFormatting>
  <conditionalFormatting sqref="AJ76:AJ78">
    <cfRule type="cellIs" dxfId="238" priority="26" operator="equal">
      <formula>$AJ$16</formula>
    </cfRule>
  </conditionalFormatting>
  <conditionalFormatting sqref="BU20:BU78">
    <cfRule type="cellIs" dxfId="237" priority="15" operator="lessThan">
      <formula>$BU$17</formula>
    </cfRule>
    <cfRule type="cellIs" dxfId="236" priority="16" operator="between">
      <formula>$BU$17</formula>
      <formula>$BU$16</formula>
    </cfRule>
  </conditionalFormatting>
  <conditionalFormatting sqref="BX20:BX78">
    <cfRule type="cellIs" dxfId="235" priority="13" operator="lessThan">
      <formula>$BX$17</formula>
    </cfRule>
    <cfRule type="cellIs" dxfId="234" priority="14" operator="between">
      <formula>$BX$17</formula>
      <formula>$BX$16</formula>
    </cfRule>
  </conditionalFormatting>
  <conditionalFormatting sqref="CA20:CA78">
    <cfRule type="cellIs" dxfId="233" priority="11" operator="lessThan">
      <formula>$CA$17</formula>
    </cfRule>
    <cfRule type="cellIs" dxfId="232" priority="12" operator="between">
      <formula>$CA$17</formula>
      <formula>$CA$16</formula>
    </cfRule>
  </conditionalFormatting>
  <conditionalFormatting sqref="AN20:AN78">
    <cfRule type="cellIs" dxfId="231" priority="10" operator="lessThan">
      <formula>$AN$16</formula>
    </cfRule>
  </conditionalFormatting>
  <conditionalFormatting sqref="AQ20:AQ78">
    <cfRule type="cellIs" dxfId="230" priority="9" operator="lessThan">
      <formula>$AQ$16</formula>
    </cfRule>
  </conditionalFormatting>
  <conditionalFormatting sqref="H20:H78">
    <cfRule type="cellIs" dxfId="229" priority="8" operator="lessThan">
      <formula>$H$16</formula>
    </cfRule>
  </conditionalFormatting>
  <conditionalFormatting sqref="J20:J78">
    <cfRule type="cellIs" dxfId="228" priority="7" operator="lessThan">
      <formula>$J$16</formula>
    </cfRule>
  </conditionalFormatting>
  <conditionalFormatting sqref="R20:R78">
    <cfRule type="cellIs" dxfId="227" priority="5" operator="lessThan">
      <formula>$J$16</formula>
    </cfRule>
  </conditionalFormatting>
  <conditionalFormatting sqref="BQ20:BQ78">
    <cfRule type="cellIs" dxfId="226" priority="3" operator="lessThan">
      <formula>$BQ$17</formula>
    </cfRule>
    <cfRule type="cellIs" dxfId="225" priority="4" operator="lessThan">
      <formula>$DY$18</formula>
    </cfRule>
  </conditionalFormatting>
  <dataValidations disablePrompts="1" count="2">
    <dataValidation type="list" allowBlank="1" showInputMessage="1" showErrorMessage="1" sqref="B3:B6 E20:F78">
      <formula1>ДаНет</formula1>
    </dataValidation>
    <dataValidation type="list" allowBlank="1" showInputMessage="1" showErrorMessage="1" sqref="B111:B114 B20:B78">
      <formula1>Должность</formula1>
    </dataValidation>
  </dataValidations>
  <hyperlinks>
    <hyperlink ref="N9:P9" location="олимпиады!R13C4" display="олимпиады!R13C4"/>
    <hyperlink ref="K9:M9" location="ВУММ!R13C4" display="Организация и проведение внутривузовских учебно-методических мероприятий (круглого стола, семинара, конференции)"/>
    <hyperlink ref="AK9:AN9" location="ПрофРабота!R20C6" display="Участие ППС в профориентационной работе ВУЗа по привлечению абиртуриентов, в том числе из медицинских колледжей"/>
    <hyperlink ref="K9:M9" location="МероприятияВуза!R21C13" display="↓↓ Выолнение кафедрами плана по количеству проведённых внутривузовских учебно-методических мероприятий (круглых столов, семинаров, конференций), образовательных мероприятий по НМО и ФО  ↓"/>
    <hyperlink ref="N9:P9" location="МероприятияВуза!R21C20" display="МероприятияВуза!R21C20"/>
    <hyperlink ref="AO9:AQ9" location="МероприятияВуза!R21C28" display="↓↓ Количество проведённых культурно - развлекательных (воспитательных) мероприятий вуза, направленных на формирование здорового образа жизни у обучающихся   ↓"/>
    <hyperlink ref="D5" location="ТИТУЛ!R1C1" display="↑  На титульнфй лист"/>
    <hyperlink ref="D6" location="'ФАКУЛЬТЕТ (КАФЕДРЫ+ДЕКАН)'!R1C1" display="Посмотреть итоги   →"/>
    <hyperlink ref="AR9:AU9" location="'ДПО(Финансы)'!R21C8" display="↓↓ Выполнение плана доходов по внебюджетным средствам от образовательной деятельности по программам ДПО кафедры (оценивается в суммарном показателе)"/>
    <hyperlink ref="BE9:BH9" location="'ИДО(Финансы)'!R21C8" display="↓↓ Выполнение плана доходов по внебюджетным средствам от образовательной деятельности по программам ИДО кафедры  (оценивается в суммарном показателе)"/>
  </hyperlinks>
  <pageMargins left="0.23622047244094491" right="0.23622047244094491" top="0.74803149606299213" bottom="0.74803149606299213" header="0.31496062992125984" footer="0.31496062992125984"/>
  <pageSetup paperSize="9" scale="54" fitToWidth="0" orientation="portrait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1">
    <tabColor theme="7" tint="-0.249977111117893"/>
  </sheetPr>
  <dimension ref="A1:H8"/>
  <sheetViews>
    <sheetView workbookViewId="0">
      <selection activeCell="G15" sqref="G15"/>
    </sheetView>
  </sheetViews>
  <sheetFormatPr defaultRowHeight="15" x14ac:dyDescent="0.25"/>
  <cols>
    <col min="1" max="1" width="34.42578125" customWidth="1"/>
  </cols>
  <sheetData>
    <row r="1" spans="1:8" x14ac:dyDescent="0.25">
      <c r="A1" t="s">
        <v>0</v>
      </c>
      <c r="D1" t="s">
        <v>38</v>
      </c>
      <c r="F1" t="s">
        <v>65</v>
      </c>
    </row>
    <row r="2" spans="1:8" x14ac:dyDescent="0.25">
      <c r="A2" s="2" t="s">
        <v>7</v>
      </c>
      <c r="B2" s="1">
        <v>1</v>
      </c>
      <c r="D2" s="1" t="s">
        <v>16</v>
      </c>
      <c r="F2" s="1" t="s">
        <v>65</v>
      </c>
      <c r="H2" s="1" t="s">
        <v>576</v>
      </c>
    </row>
    <row r="3" spans="1:8" x14ac:dyDescent="0.25">
      <c r="A3" s="1" t="s">
        <v>2</v>
      </c>
      <c r="B3" s="1">
        <v>1</v>
      </c>
      <c r="D3" s="1" t="s">
        <v>31</v>
      </c>
      <c r="H3" s="1" t="s">
        <v>577</v>
      </c>
    </row>
    <row r="4" spans="1:8" x14ac:dyDescent="0.25">
      <c r="A4" s="1" t="s">
        <v>1</v>
      </c>
      <c r="B4" s="1">
        <v>1</v>
      </c>
    </row>
    <row r="5" spans="1:8" x14ac:dyDescent="0.25">
      <c r="A5" s="2" t="s">
        <v>37</v>
      </c>
      <c r="B5" s="1">
        <v>1</v>
      </c>
    </row>
    <row r="6" spans="1:8" x14ac:dyDescent="0.25">
      <c r="A6" s="1" t="s">
        <v>44</v>
      </c>
      <c r="B6" s="1">
        <v>1</v>
      </c>
    </row>
    <row r="7" spans="1:8" x14ac:dyDescent="0.25">
      <c r="A7" s="1" t="s">
        <v>87</v>
      </c>
      <c r="B7" s="1">
        <v>0</v>
      </c>
    </row>
    <row r="8" spans="1:8" x14ac:dyDescent="0.25">
      <c r="A8" s="1" t="s">
        <v>88</v>
      </c>
      <c r="B8" s="1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2">
    <tabColor theme="3" tint="0.59999389629810485"/>
    <pageSetUpPr fitToPage="1"/>
  </sheetPr>
  <dimension ref="A1:DZ119"/>
  <sheetViews>
    <sheetView zoomScale="70" zoomScaleNormal="70" workbookViewId="0">
      <pane xSplit="6" ySplit="14" topLeftCell="G15" activePane="bottomRight" state="frozen"/>
      <selection activeCell="H18" sqref="H18"/>
      <selection pane="topRight" activeCell="H18" sqref="H18"/>
      <selection pane="bottomLeft" activeCell="H18" sqref="H18"/>
      <selection pane="bottomRight" activeCell="H18" sqref="H18"/>
    </sheetView>
  </sheetViews>
  <sheetFormatPr defaultColWidth="9.140625" defaultRowHeight="14.25" x14ac:dyDescent="0.2"/>
  <cols>
    <col min="1" max="1" width="50.7109375" style="31" customWidth="1"/>
    <col min="2" max="2" width="18.7109375" style="31" customWidth="1"/>
    <col min="3" max="3" width="14.28515625" style="31" customWidth="1"/>
    <col min="4" max="4" width="8.140625" style="31" customWidth="1"/>
    <col min="5" max="5" width="9.140625" style="31"/>
    <col min="6" max="6" width="9.28515625" style="31" customWidth="1"/>
    <col min="7" max="7" width="18.28515625" style="31" customWidth="1"/>
    <col min="8" max="8" width="21.140625" style="31" customWidth="1"/>
    <col min="9" max="9" width="18.28515625" style="31" customWidth="1"/>
    <col min="10" max="10" width="21.28515625" style="31" customWidth="1"/>
    <col min="11" max="11" width="23" style="31" customWidth="1"/>
    <col min="12" max="12" width="17.5703125" style="31" customWidth="1"/>
    <col min="13" max="13" width="16.140625" style="31" customWidth="1"/>
    <col min="14" max="14" width="15.140625" style="31" customWidth="1"/>
    <col min="15" max="15" width="13" style="31" customWidth="1"/>
    <col min="16" max="16" width="11.7109375" style="31" customWidth="1"/>
    <col min="17" max="17" width="13.5703125" style="31" customWidth="1"/>
    <col min="18" max="18" width="13.7109375" style="31" customWidth="1"/>
    <col min="19" max="19" width="16.42578125" style="31" customWidth="1"/>
    <col min="20" max="20" width="14.28515625" style="31" customWidth="1"/>
    <col min="21" max="21" width="10.5703125" style="31" customWidth="1"/>
    <col min="22" max="22" width="14" style="31" customWidth="1"/>
    <col min="23" max="23" width="12.85546875" style="31" customWidth="1"/>
    <col min="24" max="24" width="10.5703125" style="31" customWidth="1"/>
    <col min="25" max="25" width="13.7109375" style="31" customWidth="1"/>
    <col min="26" max="26" width="12.85546875" style="31" customWidth="1"/>
    <col min="27" max="27" width="10.5703125" style="31" customWidth="1"/>
    <col min="28" max="28" width="11.7109375" style="31" customWidth="1"/>
    <col min="29" max="29" width="11.140625" style="31" customWidth="1"/>
    <col min="30" max="30" width="14.42578125" style="31" customWidth="1"/>
    <col min="31" max="33" width="11.140625" style="31" customWidth="1"/>
    <col min="34" max="34" width="11.28515625" style="31" customWidth="1"/>
    <col min="35" max="35" width="13.140625" style="31" customWidth="1"/>
    <col min="36" max="36" width="10.5703125" style="31" customWidth="1"/>
    <col min="37" max="39" width="9.28515625" style="31" customWidth="1"/>
    <col min="40" max="40" width="11.140625" style="31" customWidth="1"/>
    <col min="41" max="41" width="15.28515625" style="31" customWidth="1"/>
    <col min="42" max="42" width="15.85546875" style="31" customWidth="1"/>
    <col min="43" max="43" width="13" style="31" customWidth="1"/>
    <col min="44" max="44" width="19.5703125" style="31" customWidth="1"/>
    <col min="45" max="45" width="20.28515625" style="31" customWidth="1"/>
    <col min="46" max="46" width="14.140625" style="31" customWidth="1"/>
    <col min="47" max="47" width="9.28515625" style="31" bestFit="1" customWidth="1"/>
    <col min="48" max="48" width="18.140625" style="31" customWidth="1"/>
    <col min="49" max="49" width="20.5703125" style="31" customWidth="1"/>
    <col min="50" max="50" width="21.7109375" style="31" customWidth="1"/>
    <col min="51" max="51" width="20" style="31" customWidth="1"/>
    <col min="52" max="52" width="16.7109375" style="31" customWidth="1"/>
    <col min="53" max="54" width="17.85546875" style="31" customWidth="1"/>
    <col min="55" max="56" width="21" style="31" customWidth="1"/>
    <col min="57" max="58" width="17.42578125" style="31" customWidth="1"/>
    <col min="59" max="59" width="14.140625" style="31" customWidth="1"/>
    <col min="60" max="60" width="9.28515625" style="31" bestFit="1" customWidth="1"/>
    <col min="61" max="61" width="31.5703125" style="31" customWidth="1"/>
    <col min="62" max="62" width="14.5703125" style="31" customWidth="1"/>
    <col min="63" max="63" width="10.7109375" style="31" customWidth="1"/>
    <col min="64" max="64" width="15.7109375" style="31" customWidth="1"/>
    <col min="65" max="65" width="9.28515625" style="31" bestFit="1" customWidth="1"/>
    <col min="66" max="66" width="11.140625" style="31" customWidth="1"/>
    <col min="67" max="67" width="14.7109375" style="31" customWidth="1"/>
    <col min="68" max="69" width="12.28515625" style="31" bestFit="1" customWidth="1"/>
    <col min="70" max="71" width="12.28515625" style="31" customWidth="1"/>
    <col min="72" max="72" width="14.5703125" style="31" customWidth="1"/>
    <col min="73" max="73" width="14.42578125" style="31" customWidth="1"/>
    <col min="74" max="76" width="12.28515625" style="31" customWidth="1"/>
    <col min="77" max="78" width="9.28515625" style="31" bestFit="1" customWidth="1"/>
    <col min="79" max="79" width="10.7109375" style="31" bestFit="1" customWidth="1"/>
    <col min="80" max="80" width="2.28515625" style="31" customWidth="1"/>
    <col min="81" max="81" width="19.28515625" style="35" customWidth="1"/>
    <col min="82" max="82" width="2.42578125" style="33" customWidth="1"/>
    <col min="83" max="83" width="2.85546875" style="31" customWidth="1"/>
    <col min="84" max="90" width="16" style="31" customWidth="1"/>
    <col min="91" max="91" width="2.28515625" style="31" customWidth="1"/>
    <col min="92" max="98" width="10.7109375" style="31" customWidth="1"/>
    <col min="99" max="99" width="5.28515625" style="31" customWidth="1"/>
    <col min="100" max="100" width="15" style="31" customWidth="1"/>
    <col min="101" max="102" width="12.28515625" style="31" customWidth="1"/>
    <col min="103" max="103" width="5.85546875" style="31" customWidth="1"/>
    <col min="104" max="106" width="12.28515625" style="31" customWidth="1"/>
    <col min="107" max="107" width="3.28515625" style="33" customWidth="1"/>
    <col min="108" max="108" width="20.85546875" style="146" customWidth="1"/>
    <col min="109" max="109" width="20.5703125" style="146" customWidth="1"/>
    <col min="110" max="110" width="21.140625" style="146" customWidth="1"/>
    <col min="111" max="111" width="20.7109375" style="146" customWidth="1"/>
    <col min="112" max="112" width="21.42578125" style="146" customWidth="1"/>
    <col min="113" max="113" width="24" style="146" customWidth="1"/>
    <col min="114" max="114" width="22.42578125" style="146" customWidth="1"/>
    <col min="115" max="116" width="9.140625" style="31" customWidth="1"/>
    <col min="117" max="117" width="22.5703125" style="146" customWidth="1"/>
    <col min="118" max="118" width="20.5703125" style="31" customWidth="1"/>
    <col min="119" max="119" width="16.5703125" style="31" customWidth="1"/>
    <col min="120" max="120" width="13.7109375" style="31" customWidth="1"/>
    <col min="121" max="121" width="13.42578125" style="31" customWidth="1"/>
    <col min="122" max="123" width="12.7109375" style="31" customWidth="1"/>
    <col min="124" max="125" width="13" style="31" customWidth="1"/>
    <col min="126" max="130" width="9.140625" style="31" customWidth="1"/>
    <col min="131" max="131" width="7.7109375" style="31" customWidth="1"/>
    <col min="132" max="16384" width="9.140625" style="31"/>
  </cols>
  <sheetData>
    <row r="1" spans="1:130" s="25" customFormat="1" ht="19.5" x14ac:dyDescent="0.25">
      <c r="A1" s="23" t="s">
        <v>3</v>
      </c>
      <c r="B1" s="23" t="str">
        <f>ТИТУЛ!C1</f>
        <v xml:space="preserve">Впишите название факультет </v>
      </c>
      <c r="C1" s="23"/>
      <c r="D1" s="24"/>
      <c r="E1" s="24"/>
      <c r="G1" s="27"/>
      <c r="H1" s="27"/>
      <c r="I1" s="27"/>
      <c r="J1" s="27"/>
      <c r="CC1" s="28"/>
      <c r="CD1" s="26"/>
      <c r="CF1" s="25">
        <v>150</v>
      </c>
      <c r="CG1" s="25">
        <v>151</v>
      </c>
      <c r="CH1" s="25">
        <v>152</v>
      </c>
      <c r="CI1" s="25">
        <v>153</v>
      </c>
      <c r="CJ1" s="25">
        <v>154</v>
      </c>
      <c r="CK1" s="25">
        <v>156</v>
      </c>
      <c r="CL1" s="25">
        <v>157</v>
      </c>
      <c r="CM1" s="25">
        <v>158</v>
      </c>
      <c r="CN1" s="25">
        <v>159</v>
      </c>
      <c r="CO1" s="25">
        <v>160</v>
      </c>
      <c r="CP1" s="25">
        <v>161</v>
      </c>
      <c r="CQ1" s="25">
        <v>162</v>
      </c>
      <c r="CR1" s="25">
        <v>163</v>
      </c>
      <c r="CS1" s="25">
        <v>165</v>
      </c>
      <c r="CT1" s="25">
        <v>166</v>
      </c>
      <c r="CU1" s="25">
        <v>167</v>
      </c>
      <c r="CV1" s="25">
        <v>168</v>
      </c>
      <c r="CW1" s="25">
        <v>169</v>
      </c>
      <c r="CX1" s="25">
        <v>170</v>
      </c>
      <c r="DC1" s="26"/>
      <c r="DD1" s="146">
        <v>176</v>
      </c>
      <c r="DE1" s="146">
        <v>177</v>
      </c>
      <c r="DF1" s="146">
        <v>178</v>
      </c>
      <c r="DG1" s="146">
        <v>179</v>
      </c>
      <c r="DH1" s="146">
        <v>180</v>
      </c>
      <c r="DI1" s="146">
        <v>182</v>
      </c>
      <c r="DJ1" s="146">
        <v>183</v>
      </c>
      <c r="DK1" s="146">
        <v>184</v>
      </c>
      <c r="DL1" s="25">
        <v>185</v>
      </c>
      <c r="DM1" s="145">
        <v>186</v>
      </c>
      <c r="DN1" s="25">
        <v>187</v>
      </c>
      <c r="DO1" s="145">
        <v>188</v>
      </c>
      <c r="DP1" s="25">
        <v>189</v>
      </c>
      <c r="DQ1" s="145">
        <v>190</v>
      </c>
      <c r="DR1" s="25">
        <v>191</v>
      </c>
      <c r="DS1" s="145">
        <v>192</v>
      </c>
      <c r="DT1" s="145">
        <v>194</v>
      </c>
      <c r="DU1" s="25">
        <v>195</v>
      </c>
      <c r="DV1" s="145">
        <v>196</v>
      </c>
      <c r="DW1" s="25">
        <v>197</v>
      </c>
      <c r="DX1" s="145">
        <v>198</v>
      </c>
      <c r="DY1" s="25">
        <v>199</v>
      </c>
      <c r="DZ1" s="145">
        <v>200</v>
      </c>
    </row>
    <row r="2" spans="1:130" ht="19.5" x14ac:dyDescent="0.25">
      <c r="A2" s="23" t="s">
        <v>4</v>
      </c>
      <c r="B2" s="23" t="str">
        <f>ТИТУЛ!C2</f>
        <v>Кафедра Впишите название</v>
      </c>
      <c r="C2" s="29"/>
      <c r="D2" s="30"/>
      <c r="E2" s="30"/>
      <c r="G2" s="32"/>
      <c r="H2" s="32"/>
      <c r="I2" s="32"/>
      <c r="J2" s="32"/>
      <c r="K2" s="32"/>
      <c r="L2" s="32"/>
      <c r="M2" s="32"/>
      <c r="N2" s="32"/>
      <c r="O2" s="32"/>
      <c r="P2" s="32"/>
      <c r="Q2" s="604"/>
      <c r="R2" s="604"/>
      <c r="S2" s="32"/>
      <c r="T2" s="32"/>
      <c r="U2" s="32"/>
      <c r="V2" s="32"/>
      <c r="W2" s="32"/>
      <c r="X2" s="32"/>
      <c r="Y2" s="32"/>
      <c r="Z2" s="32"/>
      <c r="AA2" s="32"/>
      <c r="AB2" s="604"/>
      <c r="AC2" s="604"/>
      <c r="AD2" s="604"/>
      <c r="AE2" s="32"/>
      <c r="AF2" s="32"/>
      <c r="AG2" s="32"/>
      <c r="AH2" s="32"/>
      <c r="AI2" s="32"/>
      <c r="AJ2" s="32"/>
      <c r="AS2" s="25"/>
      <c r="AT2" s="25"/>
      <c r="AZ2" s="25"/>
      <c r="BF2" s="25"/>
      <c r="BG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</row>
    <row r="3" spans="1:130" ht="19.5" x14ac:dyDescent="0.25">
      <c r="A3" s="36" t="s">
        <v>15</v>
      </c>
      <c r="B3" s="36" t="str">
        <f>ТИТУЛ!C3</f>
        <v>Да</v>
      </c>
      <c r="C3" s="29"/>
      <c r="D3" s="30"/>
      <c r="E3" s="30"/>
      <c r="G3" s="32"/>
      <c r="H3" s="32"/>
      <c r="I3" s="32"/>
      <c r="J3" s="32"/>
      <c r="K3" s="32"/>
      <c r="L3" s="32"/>
      <c r="M3" s="32"/>
      <c r="N3" s="32"/>
      <c r="O3" s="32"/>
      <c r="P3" s="32"/>
      <c r="Q3" s="604"/>
      <c r="R3" s="604"/>
      <c r="S3" s="32"/>
      <c r="T3" s="32"/>
      <c r="U3" s="32"/>
      <c r="V3" s="32"/>
      <c r="W3" s="32"/>
      <c r="X3" s="32"/>
      <c r="Y3" s="32"/>
      <c r="Z3" s="32"/>
      <c r="AA3" s="32"/>
      <c r="AB3" s="604"/>
      <c r="AC3" s="604"/>
      <c r="AD3" s="604"/>
      <c r="AE3" s="32"/>
      <c r="AF3" s="32"/>
      <c r="AG3" s="32"/>
      <c r="AH3" s="37"/>
      <c r="AI3" s="32"/>
      <c r="AJ3" s="37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</row>
    <row r="4" spans="1:130" s="106" customFormat="1" ht="20.25" thickBot="1" x14ac:dyDescent="0.3">
      <c r="A4" s="355" t="s">
        <v>17</v>
      </c>
      <c r="B4" s="355" t="str">
        <f>ТИТУЛ!C4</f>
        <v>Да</v>
      </c>
      <c r="C4" s="355"/>
      <c r="D4" s="356"/>
      <c r="E4" s="356"/>
      <c r="G4" s="358"/>
      <c r="H4" s="358"/>
      <c r="I4" s="358"/>
      <c r="J4" s="358"/>
      <c r="K4" s="357"/>
      <c r="L4" s="357"/>
      <c r="M4" s="357"/>
      <c r="N4" s="358"/>
      <c r="O4" s="358"/>
      <c r="P4" s="358"/>
      <c r="Q4" s="358"/>
      <c r="R4" s="358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57"/>
      <c r="AF4" s="357"/>
      <c r="AG4" s="357"/>
      <c r="AH4" s="359"/>
      <c r="AI4" s="359"/>
      <c r="AJ4" s="359"/>
      <c r="AO4" s="360"/>
      <c r="CC4" s="361"/>
      <c r="CD4" s="107"/>
      <c r="CF4" s="363" t="s">
        <v>51</v>
      </c>
      <c r="CG4" s="363" t="s">
        <v>29</v>
      </c>
      <c r="CH4" s="364" t="s">
        <v>52</v>
      </c>
      <c r="CI4" s="363" t="s">
        <v>46</v>
      </c>
      <c r="CJ4" s="363" t="s">
        <v>48</v>
      </c>
      <c r="CK4" s="363" t="s">
        <v>49</v>
      </c>
      <c r="CL4" s="363" t="s">
        <v>50</v>
      </c>
      <c r="CN4" s="363" t="s">
        <v>51</v>
      </c>
      <c r="CO4" s="363" t="s">
        <v>29</v>
      </c>
      <c r="CP4" s="364" t="s">
        <v>52</v>
      </c>
      <c r="CQ4" s="363" t="s">
        <v>46</v>
      </c>
      <c r="CR4" s="363" t="s">
        <v>48</v>
      </c>
      <c r="CS4" s="363" t="s">
        <v>49</v>
      </c>
      <c r="CT4" s="363" t="s">
        <v>50</v>
      </c>
      <c r="CV4" s="363" t="s">
        <v>55</v>
      </c>
      <c r="CZ4" s="106" t="s">
        <v>56</v>
      </c>
      <c r="DC4" s="107"/>
      <c r="DD4" s="358"/>
      <c r="DE4" s="358"/>
      <c r="DF4" s="358"/>
      <c r="DG4" s="358"/>
      <c r="DH4" s="358"/>
      <c r="DI4" s="358"/>
      <c r="DJ4" s="358"/>
      <c r="DM4" s="358"/>
    </row>
    <row r="5" spans="1:130" ht="24.75" x14ac:dyDescent="0.3">
      <c r="A5" s="29" t="s">
        <v>18</v>
      </c>
      <c r="B5" s="29" t="str">
        <f>ТИТУЛ!C5</f>
        <v>Да</v>
      </c>
      <c r="C5" s="29"/>
      <c r="D5" s="30"/>
      <c r="E5" s="30"/>
      <c r="F5" s="538" t="s">
        <v>164</v>
      </c>
      <c r="G5" s="32"/>
      <c r="H5" s="32"/>
      <c r="I5" s="32"/>
      <c r="J5" s="32"/>
      <c r="K5" s="38"/>
      <c r="L5" s="38"/>
      <c r="M5" s="38"/>
      <c r="N5" s="32"/>
      <c r="O5" s="32"/>
      <c r="P5" s="32"/>
      <c r="Q5" s="604"/>
      <c r="R5" s="604"/>
      <c r="S5" s="32"/>
      <c r="T5" s="32"/>
      <c r="U5" s="32"/>
      <c r="V5" s="32"/>
      <c r="W5" s="32"/>
      <c r="X5" s="32"/>
      <c r="Y5" s="32"/>
      <c r="Z5" s="32"/>
      <c r="AA5" s="32"/>
      <c r="AB5" s="604"/>
      <c r="AC5" s="604"/>
      <c r="AD5" s="604"/>
      <c r="AE5" s="248"/>
      <c r="AF5" s="465"/>
      <c r="AG5" s="465"/>
      <c r="AH5" s="248"/>
      <c r="AI5" s="465"/>
      <c r="AJ5" s="465"/>
      <c r="AK5" s="452" t="s">
        <v>262</v>
      </c>
      <c r="AL5" s="434" t="s">
        <v>262</v>
      </c>
      <c r="AM5" s="434" t="s">
        <v>262</v>
      </c>
      <c r="AN5" s="434" t="s">
        <v>262</v>
      </c>
      <c r="BN5" s="39"/>
    </row>
    <row r="6" spans="1:130" ht="19.5" x14ac:dyDescent="0.25">
      <c r="A6" s="29" t="s">
        <v>30</v>
      </c>
      <c r="B6" s="29" t="str">
        <f>ТИТУЛ!C6</f>
        <v>Нет</v>
      </c>
      <c r="C6" s="29"/>
      <c r="D6" s="30"/>
      <c r="E6" s="30"/>
      <c r="F6" s="414" t="s">
        <v>214</v>
      </c>
      <c r="AE6" s="418"/>
      <c r="AF6" s="418"/>
      <c r="AG6" s="418"/>
      <c r="AH6" s="418"/>
      <c r="AI6" s="418"/>
      <c r="AJ6" s="418"/>
      <c r="AK6" s="39" t="s">
        <v>77</v>
      </c>
      <c r="AL6" s="39"/>
      <c r="AM6" s="39"/>
    </row>
    <row r="7" spans="1:130" ht="19.5" customHeight="1" x14ac:dyDescent="0.25">
      <c r="A7" s="138" t="s">
        <v>118</v>
      </c>
      <c r="B7" s="139"/>
      <c r="C7" s="41">
        <f>ТИТУЛ!$C7</f>
        <v>0</v>
      </c>
      <c r="D7" s="42"/>
      <c r="E7" s="42"/>
      <c r="F7" s="539" t="str">
        <f>ТИТУЛ!$B$22&amp;" квартал "&amp;ТИТУЛ!$D$22&amp;" года"</f>
        <v>2 квартал 2024 года</v>
      </c>
      <c r="G7" s="40"/>
      <c r="H7" s="40"/>
      <c r="I7" s="40"/>
      <c r="J7" s="40"/>
      <c r="K7" s="43"/>
      <c r="L7" s="40"/>
      <c r="M7" s="40"/>
      <c r="N7" s="43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18"/>
      <c r="AF7" s="418"/>
      <c r="AG7" s="418"/>
      <c r="AH7" s="418"/>
      <c r="AI7" s="418"/>
      <c r="AJ7" s="418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</row>
    <row r="8" spans="1:130" ht="37.5" customHeight="1" x14ac:dyDescent="0.25">
      <c r="A8" s="138" t="s">
        <v>32</v>
      </c>
      <c r="B8" s="139"/>
      <c r="C8" s="44">
        <f>C19</f>
        <v>0</v>
      </c>
      <c r="D8" s="45"/>
      <c r="E8" s="45"/>
      <c r="F8" s="540"/>
      <c r="G8" s="2211" t="s">
        <v>11</v>
      </c>
      <c r="H8" s="2211"/>
      <c r="I8" s="2211"/>
      <c r="J8" s="2211"/>
      <c r="K8" s="2211"/>
      <c r="L8" s="2211"/>
      <c r="M8" s="2211"/>
      <c r="N8" s="2211"/>
      <c r="O8" s="2211"/>
      <c r="P8" s="2211"/>
      <c r="Q8" s="2212"/>
      <c r="R8" s="2212"/>
      <c r="S8" s="2211"/>
      <c r="T8" s="2211"/>
      <c r="U8" s="2211"/>
      <c r="V8" s="2211"/>
      <c r="W8" s="2211"/>
      <c r="X8" s="2211"/>
      <c r="Y8" s="2211"/>
      <c r="Z8" s="2211"/>
      <c r="AA8" s="2211"/>
      <c r="AB8" s="2211"/>
      <c r="AC8" s="2211"/>
      <c r="AD8" s="2213"/>
      <c r="AE8" s="2224" t="s">
        <v>624</v>
      </c>
      <c r="AF8" s="2225"/>
      <c r="AG8" s="2225"/>
      <c r="AH8" s="2225"/>
      <c r="AI8" s="2225"/>
      <c r="AJ8" s="2225"/>
      <c r="AK8" s="2208" t="s">
        <v>19</v>
      </c>
      <c r="AL8" s="2209"/>
      <c r="AM8" s="2209"/>
      <c r="AN8" s="2209"/>
      <c r="AO8" s="2209"/>
      <c r="AP8" s="2209"/>
      <c r="AQ8" s="2210"/>
      <c r="AR8" s="2206" t="s">
        <v>175</v>
      </c>
      <c r="AS8" s="2207"/>
      <c r="AT8" s="2207"/>
      <c r="AU8" s="2207"/>
      <c r="AV8" s="2207"/>
      <c r="AW8" s="2207"/>
      <c r="AX8" s="2207"/>
      <c r="AY8" s="2207"/>
      <c r="AZ8" s="2207"/>
      <c r="BA8" s="2207"/>
      <c r="BB8" s="2207"/>
      <c r="BC8" s="2207"/>
      <c r="BD8" s="2207"/>
      <c r="BE8" s="2207"/>
      <c r="BF8" s="2207"/>
      <c r="BG8" s="2207"/>
      <c r="BH8" s="2207"/>
      <c r="BI8" s="2207"/>
      <c r="BJ8" s="2204" t="s">
        <v>20</v>
      </c>
      <c r="BK8" s="2204"/>
      <c r="BL8" s="2204"/>
      <c r="BM8" s="2204"/>
      <c r="BN8" s="2204"/>
      <c r="BO8" s="2204"/>
      <c r="BP8" s="2204"/>
      <c r="BQ8" s="2204"/>
      <c r="BR8" s="2204"/>
      <c r="BS8" s="2204"/>
      <c r="BT8" s="2204"/>
      <c r="BU8" s="2204"/>
      <c r="BV8" s="2204"/>
      <c r="BW8" s="2204"/>
      <c r="BX8" s="2204"/>
      <c r="BY8" s="2204"/>
      <c r="BZ8" s="2204"/>
      <c r="CA8" s="2205"/>
      <c r="CF8" s="48" t="s">
        <v>66</v>
      </c>
      <c r="CG8" s="48"/>
      <c r="CH8" s="48"/>
      <c r="CI8" s="48"/>
      <c r="CJ8" s="48"/>
      <c r="CK8" s="48" t="s">
        <v>89</v>
      </c>
      <c r="CL8" s="48"/>
      <c r="CN8" s="48" t="s">
        <v>66</v>
      </c>
      <c r="CO8" s="49"/>
      <c r="CP8" s="49"/>
      <c r="CQ8" s="49"/>
      <c r="CR8" s="49"/>
      <c r="CS8" s="48" t="s">
        <v>89</v>
      </c>
      <c r="CT8" s="49"/>
    </row>
    <row r="9" spans="1:130" s="50" customFormat="1" ht="144" customHeight="1" x14ac:dyDescent="0.35">
      <c r="A9" s="2227"/>
      <c r="B9" s="2227"/>
      <c r="C9" s="2228"/>
      <c r="D9" s="445">
        <f ca="1">NOW()</f>
        <v>45929.466219097223</v>
      </c>
      <c r="E9" s="18"/>
      <c r="F9" s="18"/>
      <c r="G9" s="2229" t="s">
        <v>611</v>
      </c>
      <c r="H9" s="2230"/>
      <c r="I9" s="2185" t="s">
        <v>612</v>
      </c>
      <c r="J9" s="2186"/>
      <c r="K9" s="2185" t="s">
        <v>613</v>
      </c>
      <c r="L9" s="2177"/>
      <c r="M9" s="2221"/>
      <c r="N9" s="2185" t="s">
        <v>614</v>
      </c>
      <c r="O9" s="2177"/>
      <c r="P9" s="2221"/>
      <c r="Q9" s="2226" t="s">
        <v>673</v>
      </c>
      <c r="R9" s="2221"/>
      <c r="S9" s="2222" t="s">
        <v>621</v>
      </c>
      <c r="T9" s="2201"/>
      <c r="U9" s="2223"/>
      <c r="V9" s="2185" t="s">
        <v>513</v>
      </c>
      <c r="W9" s="2175"/>
      <c r="X9" s="2186"/>
      <c r="Y9" s="2185" t="s">
        <v>622</v>
      </c>
      <c r="Z9" s="2175"/>
      <c r="AA9" s="2186"/>
      <c r="AB9" s="2185" t="s">
        <v>623</v>
      </c>
      <c r="AC9" s="2175"/>
      <c r="AD9" s="2186"/>
      <c r="AE9" s="2185" t="s">
        <v>357</v>
      </c>
      <c r="AF9" s="2175"/>
      <c r="AG9" s="2186"/>
      <c r="AH9" s="2185" t="s">
        <v>358</v>
      </c>
      <c r="AI9" s="2175"/>
      <c r="AJ9" s="2186"/>
      <c r="AK9" s="2214" t="s">
        <v>629</v>
      </c>
      <c r="AL9" s="2203"/>
      <c r="AM9" s="2203"/>
      <c r="AN9" s="2215"/>
      <c r="AO9" s="2214" t="s">
        <v>630</v>
      </c>
      <c r="AP9" s="2203"/>
      <c r="AQ9" s="2203"/>
      <c r="AR9" s="2216" t="s">
        <v>495</v>
      </c>
      <c r="AS9" s="2217"/>
      <c r="AT9" s="2217"/>
      <c r="AU9" s="2218"/>
      <c r="AV9" s="2240" t="s">
        <v>287</v>
      </c>
      <c r="AW9" s="2241"/>
      <c r="AX9" s="2241"/>
      <c r="AY9" s="2241"/>
      <c r="AZ9" s="2242"/>
      <c r="BA9" s="2219" t="s">
        <v>253</v>
      </c>
      <c r="BB9" s="2220"/>
      <c r="BC9" s="437" t="s">
        <v>278</v>
      </c>
      <c r="BD9" s="1591" t="s">
        <v>286</v>
      </c>
      <c r="BE9" s="2234" t="s">
        <v>246</v>
      </c>
      <c r="BF9" s="2235"/>
      <c r="BG9" s="2235"/>
      <c r="BH9" s="2236"/>
      <c r="BI9" s="382" t="s">
        <v>245</v>
      </c>
      <c r="BJ9" s="384" t="s">
        <v>241</v>
      </c>
      <c r="BK9" s="2237" t="s">
        <v>163</v>
      </c>
      <c r="BL9" s="2238"/>
      <c r="BM9" s="2239"/>
      <c r="BN9" s="2232" t="s">
        <v>21</v>
      </c>
      <c r="BO9" s="2233"/>
      <c r="BP9" s="2233"/>
      <c r="BQ9" s="2233"/>
      <c r="BR9" s="2185" t="s">
        <v>461</v>
      </c>
      <c r="BS9" s="2175"/>
      <c r="BT9" s="2175"/>
      <c r="BU9" s="2186"/>
      <c r="BV9" s="2233" t="s">
        <v>462</v>
      </c>
      <c r="BW9" s="2233"/>
      <c r="BX9" s="2243"/>
      <c r="BY9" s="2231" t="s">
        <v>460</v>
      </c>
      <c r="BZ9" s="2231"/>
      <c r="CA9" s="2231"/>
      <c r="CD9" s="53"/>
      <c r="CF9" s="51" t="s">
        <v>53</v>
      </c>
      <c r="CG9" s="51" t="s">
        <v>53</v>
      </c>
      <c r="CH9" s="51" t="s">
        <v>53</v>
      </c>
      <c r="CI9" s="51" t="s">
        <v>53</v>
      </c>
      <c r="CJ9" s="51" t="s">
        <v>53</v>
      </c>
      <c r="CK9" s="51" t="s">
        <v>53</v>
      </c>
      <c r="CL9" s="51" t="s">
        <v>53</v>
      </c>
      <c r="CM9" s="54"/>
      <c r="CN9" s="51" t="s">
        <v>58</v>
      </c>
      <c r="CO9" s="51" t="s">
        <v>58</v>
      </c>
      <c r="CP9" s="51" t="s">
        <v>58</v>
      </c>
      <c r="CQ9" s="51" t="s">
        <v>58</v>
      </c>
      <c r="CR9" s="51" t="s">
        <v>58</v>
      </c>
      <c r="CS9" s="51" t="s">
        <v>58</v>
      </c>
      <c r="CT9" s="51" t="s">
        <v>58</v>
      </c>
      <c r="CU9" s="54"/>
      <c r="CV9" s="54" t="s">
        <v>62</v>
      </c>
      <c r="CW9" s="54" t="s">
        <v>62</v>
      </c>
      <c r="CX9" s="54" t="s">
        <v>62</v>
      </c>
      <c r="CY9" s="54"/>
      <c r="CZ9" s="54" t="s">
        <v>63</v>
      </c>
      <c r="DA9" s="54" t="s">
        <v>63</v>
      </c>
      <c r="DB9" s="54" t="s">
        <v>63</v>
      </c>
      <c r="DC9" s="53"/>
      <c r="DD9" s="156" t="s">
        <v>41</v>
      </c>
      <c r="DE9" s="156" t="s">
        <v>41</v>
      </c>
      <c r="DF9" s="156" t="s">
        <v>41</v>
      </c>
      <c r="DG9" s="156" t="s">
        <v>41</v>
      </c>
      <c r="DH9" s="156" t="s">
        <v>41</v>
      </c>
      <c r="DI9" s="156" t="s">
        <v>41</v>
      </c>
      <c r="DJ9" s="156" t="s">
        <v>41</v>
      </c>
      <c r="DM9" s="147"/>
      <c r="DO9" s="156" t="s">
        <v>41</v>
      </c>
      <c r="DP9" s="156" t="s">
        <v>41</v>
      </c>
      <c r="DQ9" s="156" t="s">
        <v>41</v>
      </c>
      <c r="DR9" s="156" t="s">
        <v>41</v>
      </c>
      <c r="DS9" s="156" t="s">
        <v>41</v>
      </c>
      <c r="DT9" s="156" t="s">
        <v>41</v>
      </c>
      <c r="DU9" s="156" t="s">
        <v>41</v>
      </c>
    </row>
    <row r="10" spans="1:130" ht="179.25" customHeight="1" x14ac:dyDescent="0.2">
      <c r="A10" s="19" t="s">
        <v>234</v>
      </c>
      <c r="B10" s="20" t="s">
        <v>0</v>
      </c>
      <c r="C10" s="499" t="s">
        <v>32</v>
      </c>
      <c r="D10" s="500" t="s">
        <v>120</v>
      </c>
      <c r="E10" s="500" t="s">
        <v>119</v>
      </c>
      <c r="F10" s="385" t="s">
        <v>237</v>
      </c>
      <c r="G10" s="715" t="s">
        <v>295</v>
      </c>
      <c r="H10" s="1584" t="s">
        <v>296</v>
      </c>
      <c r="I10" s="715" t="s">
        <v>383</v>
      </c>
      <c r="J10" s="1584" t="s">
        <v>384</v>
      </c>
      <c r="K10" s="715" t="s">
        <v>140</v>
      </c>
      <c r="L10" s="1585" t="s">
        <v>142</v>
      </c>
      <c r="M10" s="1584" t="s">
        <v>121</v>
      </c>
      <c r="N10" s="715" t="s">
        <v>141</v>
      </c>
      <c r="O10" s="1585" t="s">
        <v>142</v>
      </c>
      <c r="P10" s="1584" t="s">
        <v>121</v>
      </c>
      <c r="Q10" s="809" t="s">
        <v>674</v>
      </c>
      <c r="R10" s="1558" t="s">
        <v>687</v>
      </c>
      <c r="S10" s="715" t="s">
        <v>615</v>
      </c>
      <c r="T10" s="1585" t="s">
        <v>616</v>
      </c>
      <c r="U10" s="1584" t="s">
        <v>121</v>
      </c>
      <c r="V10" s="715" t="s">
        <v>617</v>
      </c>
      <c r="W10" s="1585" t="s">
        <v>618</v>
      </c>
      <c r="X10" s="1584" t="s">
        <v>121</v>
      </c>
      <c r="Y10" s="715" t="s">
        <v>619</v>
      </c>
      <c r="Z10" s="1585" t="s">
        <v>620</v>
      </c>
      <c r="AA10" s="1584" t="s">
        <v>6</v>
      </c>
      <c r="AB10" s="715" t="s">
        <v>467</v>
      </c>
      <c r="AC10" s="1585" t="s">
        <v>468</v>
      </c>
      <c r="AD10" s="1584" t="s">
        <v>429</v>
      </c>
      <c r="AE10" s="715" t="s">
        <v>298</v>
      </c>
      <c r="AF10" s="1586" t="s">
        <v>297</v>
      </c>
      <c r="AG10" s="716" t="s">
        <v>121</v>
      </c>
      <c r="AH10" s="715" t="s">
        <v>298</v>
      </c>
      <c r="AI10" s="1586" t="s">
        <v>297</v>
      </c>
      <c r="AJ10" s="716" t="s">
        <v>121</v>
      </c>
      <c r="AK10" s="715" t="s">
        <v>122</v>
      </c>
      <c r="AL10" s="715" t="s">
        <v>123</v>
      </c>
      <c r="AM10" s="715" t="s">
        <v>124</v>
      </c>
      <c r="AN10" s="717" t="s">
        <v>197</v>
      </c>
      <c r="AO10" s="715" t="s">
        <v>140</v>
      </c>
      <c r="AP10" s="716" t="s">
        <v>146</v>
      </c>
      <c r="AQ10" s="717" t="s">
        <v>121</v>
      </c>
      <c r="AR10" s="715" t="s">
        <v>639</v>
      </c>
      <c r="AS10" s="1587" t="s">
        <v>638</v>
      </c>
      <c r="AT10" s="1589" t="s">
        <v>285</v>
      </c>
      <c r="AU10" s="1583" t="s">
        <v>121</v>
      </c>
      <c r="AV10" s="715" t="s">
        <v>640</v>
      </c>
      <c r="AW10" s="715" t="s">
        <v>641</v>
      </c>
      <c r="AX10" s="1592" t="s">
        <v>490</v>
      </c>
      <c r="AY10" s="1592" t="s">
        <v>491</v>
      </c>
      <c r="AZ10" s="1590" t="s">
        <v>283</v>
      </c>
      <c r="BA10" s="1590" t="s">
        <v>642</v>
      </c>
      <c r="BB10" s="1590" t="s">
        <v>643</v>
      </c>
      <c r="BC10" s="1590" t="s">
        <v>282</v>
      </c>
      <c r="BD10" s="214" t="s">
        <v>284</v>
      </c>
      <c r="BE10" s="214" t="s">
        <v>389</v>
      </c>
      <c r="BF10" s="1588" t="s">
        <v>390</v>
      </c>
      <c r="BG10" s="1590" t="s">
        <v>235</v>
      </c>
      <c r="BH10" s="1590" t="s">
        <v>236</v>
      </c>
      <c r="BI10" s="1590" t="s">
        <v>244</v>
      </c>
      <c r="BJ10" s="312" t="s">
        <v>238</v>
      </c>
      <c r="BK10" s="214" t="s">
        <v>240</v>
      </c>
      <c r="BL10" s="312" t="s">
        <v>239</v>
      </c>
      <c r="BM10" s="1593" t="s">
        <v>22</v>
      </c>
      <c r="BN10" s="715" t="s">
        <v>32</v>
      </c>
      <c r="BO10" s="718" t="s">
        <v>174</v>
      </c>
      <c r="BP10" s="715" t="s">
        <v>33</v>
      </c>
      <c r="BQ10" s="1582" t="s">
        <v>27</v>
      </c>
      <c r="BR10" s="611" t="s">
        <v>356</v>
      </c>
      <c r="BS10" s="611" t="s">
        <v>148</v>
      </c>
      <c r="BT10" s="611" t="s">
        <v>26</v>
      </c>
      <c r="BU10" s="1594" t="s">
        <v>34</v>
      </c>
      <c r="BV10" s="640" t="s">
        <v>448</v>
      </c>
      <c r="BW10" s="640" t="s">
        <v>449</v>
      </c>
      <c r="BX10" s="1559" t="s">
        <v>450</v>
      </c>
      <c r="BY10" s="21" t="s">
        <v>24</v>
      </c>
      <c r="BZ10" s="22" t="s">
        <v>25</v>
      </c>
      <c r="CA10" s="1595" t="s">
        <v>23</v>
      </c>
      <c r="CC10" s="140" t="s">
        <v>91</v>
      </c>
      <c r="CF10" s="51" t="s">
        <v>68</v>
      </c>
      <c r="CG10" s="51" t="s">
        <v>29</v>
      </c>
      <c r="CH10" s="51" t="s">
        <v>69</v>
      </c>
      <c r="CI10" s="51" t="s">
        <v>70</v>
      </c>
      <c r="CJ10" s="51" t="s">
        <v>71</v>
      </c>
      <c r="CK10" s="52" t="s">
        <v>72</v>
      </c>
      <c r="CL10" s="51" t="s">
        <v>12</v>
      </c>
      <c r="CN10" s="51" t="s">
        <v>68</v>
      </c>
      <c r="CO10" s="51" t="s">
        <v>29</v>
      </c>
      <c r="CP10" s="51" t="s">
        <v>69</v>
      </c>
      <c r="CQ10" s="51" t="s">
        <v>70</v>
      </c>
      <c r="CR10" s="51" t="s">
        <v>71</v>
      </c>
      <c r="CS10" s="52" t="s">
        <v>72</v>
      </c>
      <c r="CT10" s="51" t="s">
        <v>12</v>
      </c>
      <c r="CU10" s="55" t="s">
        <v>66</v>
      </c>
      <c r="CV10" s="51" t="s">
        <v>59</v>
      </c>
      <c r="CW10" s="51" t="s">
        <v>58</v>
      </c>
      <c r="CX10" s="51" t="s">
        <v>61</v>
      </c>
      <c r="CY10" s="55" t="s">
        <v>66</v>
      </c>
      <c r="CZ10" s="51" t="s">
        <v>60</v>
      </c>
      <c r="DA10" s="51" t="s">
        <v>58</v>
      </c>
      <c r="DB10" s="51" t="s">
        <v>61</v>
      </c>
      <c r="DD10" s="51" t="s">
        <v>68</v>
      </c>
      <c r="DE10" s="51" t="s">
        <v>29</v>
      </c>
      <c r="DF10" s="51" t="s">
        <v>69</v>
      </c>
      <c r="DG10" s="51" t="s">
        <v>70</v>
      </c>
      <c r="DH10" s="51" t="s">
        <v>71</v>
      </c>
      <c r="DI10" s="52" t="s">
        <v>72</v>
      </c>
      <c r="DJ10" s="51" t="s">
        <v>12</v>
      </c>
      <c r="DM10" s="156" t="s">
        <v>190</v>
      </c>
      <c r="DO10" s="51" t="s">
        <v>68</v>
      </c>
      <c r="DP10" s="51" t="s">
        <v>29</v>
      </c>
      <c r="DQ10" s="51" t="s">
        <v>69</v>
      </c>
      <c r="DR10" s="51" t="s">
        <v>70</v>
      </c>
      <c r="DS10" s="51" t="s">
        <v>71</v>
      </c>
      <c r="DT10" s="52" t="s">
        <v>72</v>
      </c>
      <c r="DU10" s="51" t="s">
        <v>12</v>
      </c>
    </row>
    <row r="11" spans="1:130" ht="13.5" customHeight="1" x14ac:dyDescent="0.2">
      <c r="A11" s="31" t="s">
        <v>54</v>
      </c>
      <c r="F11" s="56"/>
      <c r="H11" s="1646">
        <f>КАФЕДРА!H11</f>
        <v>0</v>
      </c>
      <c r="J11" s="1646">
        <f>КАФЕДРА!J11</f>
        <v>0</v>
      </c>
      <c r="M11" s="1646">
        <f>КАФЕДРА!M11</f>
        <v>1</v>
      </c>
      <c r="P11" s="1646">
        <f>КАФЕДРА!P11</f>
        <v>1</v>
      </c>
      <c r="R11" s="1646">
        <f>КАФЕДРА!R11</f>
        <v>1</v>
      </c>
      <c r="U11" s="1646">
        <f>КАФЕДРА!U11</f>
        <v>1</v>
      </c>
      <c r="X11" s="1646">
        <f>КАФЕДРА!X11</f>
        <v>1</v>
      </c>
      <c r="AA11" s="1646">
        <f>КАФЕДРА!AA11</f>
        <v>1</v>
      </c>
      <c r="AD11" s="1646">
        <f>КАФЕДРА!AD11</f>
        <v>0</v>
      </c>
      <c r="AG11" s="1646">
        <f>КАФЕДРА!AG11</f>
        <v>1</v>
      </c>
      <c r="AJ11" s="1646">
        <f>КАФЕДРА!AJ11</f>
        <v>1</v>
      </c>
      <c r="AN11" s="1646">
        <f>КАФЕДРА!AN11</f>
        <v>1</v>
      </c>
      <c r="AQ11" s="1646">
        <f>КАФЕДРА!AQ11</f>
        <v>1</v>
      </c>
      <c r="AU11" s="1646">
        <f>КАФЕДРА!AU11</f>
        <v>1</v>
      </c>
      <c r="BC11" s="314">
        <f>КАФЕДРА!BC11</f>
        <v>0</v>
      </c>
      <c r="BD11" s="31">
        <f>КАФЕДРА!BD11</f>
        <v>0</v>
      </c>
      <c r="BH11" s="1655">
        <f>КАФЕДРА!BH11</f>
        <v>1</v>
      </c>
      <c r="BI11" s="1655">
        <f>КАФЕДРА!BI11</f>
        <v>1</v>
      </c>
      <c r="BJ11" s="31">
        <f>КАФЕДРА!BJ11</f>
        <v>0</v>
      </c>
      <c r="BM11" s="1655">
        <f>КАФЕДРА!BM11</f>
        <v>1</v>
      </c>
      <c r="BQ11" s="1655">
        <f>КАФЕДРА!BQ11</f>
        <v>1</v>
      </c>
      <c r="BU11" s="1655">
        <f>КАФЕДРА!BU11</f>
        <v>1</v>
      </c>
      <c r="BX11" s="1655">
        <f>КАФЕДРА!BX11</f>
        <v>1</v>
      </c>
      <c r="CA11" s="1655">
        <f>КАФЕДРА!CA11</f>
        <v>1</v>
      </c>
      <c r="CC11" s="31"/>
      <c r="DO11" s="146"/>
      <c r="DP11" s="146"/>
      <c r="DQ11" s="146"/>
      <c r="DR11" s="146"/>
      <c r="DS11" s="146"/>
      <c r="DT11" s="146"/>
      <c r="DU11" s="146"/>
    </row>
    <row r="12" spans="1:130" s="64" customFormat="1" ht="15" hidden="1" customHeight="1" x14ac:dyDescent="0.2">
      <c r="A12" s="58"/>
      <c r="B12" s="58"/>
      <c r="C12" s="58"/>
      <c r="D12" s="58"/>
      <c r="E12" s="58"/>
      <c r="F12" s="61"/>
      <c r="G12" s="58"/>
      <c r="H12" s="58"/>
      <c r="I12" s="58"/>
      <c r="J12" s="58"/>
      <c r="K12" s="62"/>
      <c r="L12" s="62"/>
      <c r="M12" s="62"/>
      <c r="N12" s="58"/>
      <c r="O12" s="58"/>
      <c r="P12" s="58"/>
      <c r="Q12" s="756"/>
      <c r="R12" s="756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315"/>
      <c r="BS12" s="315"/>
      <c r="BT12" s="315"/>
      <c r="BU12" s="315"/>
      <c r="BV12" s="315"/>
      <c r="BW12" s="315"/>
      <c r="BX12" s="315"/>
      <c r="BY12" s="58"/>
      <c r="BZ12" s="58"/>
      <c r="CA12" s="58"/>
      <c r="CD12" s="33"/>
      <c r="DC12" s="33"/>
      <c r="DM12" s="146"/>
    </row>
    <row r="13" spans="1:130" s="33" customFormat="1" ht="15" hidden="1" customHeight="1" x14ac:dyDescent="0.2">
      <c r="A13" s="59"/>
      <c r="B13" s="59"/>
      <c r="C13" s="59"/>
      <c r="D13" s="59"/>
      <c r="E13" s="59"/>
      <c r="F13" s="61"/>
      <c r="G13" s="59"/>
      <c r="H13" s="59"/>
      <c r="I13" s="59"/>
      <c r="J13" s="59"/>
      <c r="K13" s="63"/>
      <c r="L13" s="63"/>
      <c r="M13" s="63"/>
      <c r="N13" s="59"/>
      <c r="O13" s="59"/>
      <c r="P13" s="59"/>
      <c r="Q13" s="59"/>
      <c r="R13" s="59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  <c r="AG13" s="63"/>
      <c r="AH13" s="63"/>
      <c r="AI13" s="63"/>
      <c r="AJ13" s="63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316"/>
      <c r="BS13" s="316"/>
      <c r="BT13" s="316"/>
      <c r="BU13" s="316"/>
      <c r="BV13" s="316"/>
      <c r="BW13" s="316"/>
      <c r="BX13" s="316"/>
      <c r="BY13" s="59"/>
      <c r="BZ13" s="59"/>
      <c r="CA13" s="59"/>
      <c r="DD13" s="146"/>
      <c r="DE13" s="146"/>
      <c r="DF13" s="146"/>
      <c r="DG13" s="146"/>
      <c r="DH13" s="146"/>
      <c r="DI13" s="146"/>
      <c r="DJ13" s="146"/>
      <c r="DM13" s="146"/>
      <c r="DO13" s="146"/>
      <c r="DP13" s="146"/>
      <c r="DQ13" s="146"/>
      <c r="DR13" s="146"/>
      <c r="DS13" s="146"/>
      <c r="DT13" s="146"/>
      <c r="DU13" s="146"/>
    </row>
    <row r="14" spans="1:130" s="64" customFormat="1" ht="15" hidden="1" customHeight="1" x14ac:dyDescent="0.2">
      <c r="A14" s="58"/>
      <c r="B14" s="58"/>
      <c r="C14" s="58"/>
      <c r="D14" s="58"/>
      <c r="E14" s="58"/>
      <c r="F14" s="61"/>
      <c r="G14" s="58"/>
      <c r="H14" s="58"/>
      <c r="I14" s="58"/>
      <c r="J14" s="58"/>
      <c r="K14" s="65"/>
      <c r="L14" s="65"/>
      <c r="M14" s="65"/>
      <c r="N14" s="58"/>
      <c r="O14" s="58"/>
      <c r="P14" s="58"/>
      <c r="Q14" s="756"/>
      <c r="R14" s="756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58"/>
      <c r="AI14" s="58"/>
      <c r="AJ14" s="65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315"/>
      <c r="BS14" s="315"/>
      <c r="BT14" s="315"/>
      <c r="BU14" s="315"/>
      <c r="BV14" s="315"/>
      <c r="BW14" s="315"/>
      <c r="BX14" s="315"/>
      <c r="BY14" s="58"/>
      <c r="BZ14" s="58"/>
      <c r="CA14" s="58"/>
      <c r="CD14" s="33"/>
      <c r="DC14" s="33"/>
      <c r="DD14" s="146"/>
      <c r="DE14" s="146"/>
      <c r="DF14" s="146"/>
      <c r="DG14" s="146"/>
      <c r="DH14" s="146"/>
      <c r="DI14" s="146"/>
      <c r="DJ14" s="146"/>
      <c r="DM14" s="146"/>
      <c r="DO14" s="146"/>
      <c r="DP14" s="146"/>
      <c r="DQ14" s="146"/>
      <c r="DR14" s="146"/>
      <c r="DS14" s="146"/>
      <c r="DT14" s="146"/>
      <c r="DU14" s="146"/>
    </row>
    <row r="15" spans="1:130" s="70" customFormat="1" ht="15" x14ac:dyDescent="0.2">
      <c r="A15" s="67" t="s">
        <v>8</v>
      </c>
      <c r="B15" s="67" t="s">
        <v>35</v>
      </c>
      <c r="C15" s="67" t="s">
        <v>41</v>
      </c>
      <c r="D15" s="67"/>
      <c r="E15" s="67"/>
      <c r="F15" s="61">
        <f>5/14</f>
        <v>0.35714285714285715</v>
      </c>
      <c r="G15" s="67"/>
      <c r="H15" s="67">
        <f>КАФЕДРА!H15</f>
        <v>1</v>
      </c>
      <c r="I15" s="67"/>
      <c r="J15" s="67">
        <f>КАФЕДРА!J15</f>
        <v>1</v>
      </c>
      <c r="K15" s="69"/>
      <c r="L15" s="69"/>
      <c r="M15" s="69">
        <f>КАФЕДРА!M15</f>
        <v>1</v>
      </c>
      <c r="N15" s="67"/>
      <c r="O15" s="67"/>
      <c r="P15" s="67">
        <f>КАФЕДРА!P15</f>
        <v>1</v>
      </c>
      <c r="Q15" s="67"/>
      <c r="R15" s="67">
        <f>КАФЕДРА!R15</f>
        <v>1</v>
      </c>
      <c r="S15" s="69"/>
      <c r="T15" s="69"/>
      <c r="U15" s="69">
        <f>КАФЕДРА!U15</f>
        <v>1</v>
      </c>
      <c r="V15" s="69"/>
      <c r="W15" s="69"/>
      <c r="X15" s="69">
        <f>КАФЕДРА!X15</f>
        <v>1</v>
      </c>
      <c r="Y15" s="69"/>
      <c r="Z15" s="69"/>
      <c r="AA15" s="69">
        <f>КАФЕДРА!AA15</f>
        <v>1</v>
      </c>
      <c r="AB15" s="324"/>
      <c r="AC15" s="324"/>
      <c r="AD15" s="324">
        <v>1</v>
      </c>
      <c r="AE15" s="69"/>
      <c r="AF15" s="69"/>
      <c r="AG15" s="69">
        <f>КАФЕДРА!AG15</f>
        <v>1</v>
      </c>
      <c r="AH15" s="67"/>
      <c r="AI15" s="67"/>
      <c r="AJ15" s="69">
        <f>КАФЕДРА!AJ15</f>
        <v>1</v>
      </c>
      <c r="AK15" s="67"/>
      <c r="AL15" s="67"/>
      <c r="AM15" s="67"/>
      <c r="AN15" s="67">
        <f>КАФЕДРА!AN15</f>
        <v>1</v>
      </c>
      <c r="AO15" s="67"/>
      <c r="AP15" s="67"/>
      <c r="AQ15" s="67">
        <f>КАФЕДРА!AQ15</f>
        <v>1</v>
      </c>
      <c r="AR15" s="67"/>
      <c r="AS15" s="67"/>
      <c r="AT15" s="67"/>
      <c r="AU15" s="67">
        <f>КАФЕДРА!AU15</f>
        <v>1</v>
      </c>
      <c r="AV15" s="67"/>
      <c r="AW15" s="67"/>
      <c r="AX15" s="67"/>
      <c r="AY15" s="67"/>
      <c r="AZ15" s="67"/>
      <c r="BA15" s="67">
        <f>КАФЕДРА!BA15</f>
        <v>1</v>
      </c>
      <c r="BB15" s="67">
        <f>КАФЕДРА!BB15</f>
        <v>1</v>
      </c>
      <c r="BC15" s="67">
        <f>КАФЕДРА!BC15</f>
        <v>1</v>
      </c>
      <c r="BD15" s="67">
        <f>КАФЕДРА!BD15</f>
        <v>1</v>
      </c>
      <c r="BE15" s="67"/>
      <c r="BF15" s="67"/>
      <c r="BG15" s="67"/>
      <c r="BH15" s="67">
        <f>КАФЕДРА!BH15</f>
        <v>1</v>
      </c>
      <c r="BI15" s="67">
        <f>КАФЕДРА!BI15</f>
        <v>1</v>
      </c>
      <c r="BJ15" s="67"/>
      <c r="BK15" s="67"/>
      <c r="BL15" s="67"/>
      <c r="BM15" s="67">
        <f>КАФЕДРА!BM15</f>
        <v>1</v>
      </c>
      <c r="BN15" s="67"/>
      <c r="BO15" s="67"/>
      <c r="BP15" s="67"/>
      <c r="BQ15" s="67">
        <f>КАФЕДРА!BQ15</f>
        <v>1</v>
      </c>
      <c r="BR15" s="323"/>
      <c r="BS15" s="323"/>
      <c r="BT15" s="323"/>
      <c r="BU15" s="323">
        <v>1</v>
      </c>
      <c r="BV15" s="323"/>
      <c r="BW15" s="323"/>
      <c r="BX15" s="323">
        <v>1</v>
      </c>
      <c r="BY15" s="67"/>
      <c r="BZ15" s="67"/>
      <c r="CA15" s="67">
        <f>КАФЕДРА!CA15</f>
        <v>1</v>
      </c>
      <c r="CD15" s="33"/>
      <c r="DC15" s="33"/>
      <c r="DD15" s="146"/>
      <c r="DE15" s="146"/>
      <c r="DF15" s="146"/>
      <c r="DG15" s="146"/>
      <c r="DH15" s="146"/>
      <c r="DI15" s="146"/>
      <c r="DJ15" s="146"/>
      <c r="DM15" s="146"/>
      <c r="DO15" s="146"/>
      <c r="DP15" s="146"/>
      <c r="DQ15" s="146"/>
      <c r="DR15" s="146"/>
      <c r="DS15" s="146"/>
      <c r="DT15" s="146"/>
      <c r="DU15" s="146"/>
    </row>
    <row r="16" spans="1:130" s="76" customFormat="1" ht="15" x14ac:dyDescent="0.2">
      <c r="A16" s="71" t="s">
        <v>36</v>
      </c>
      <c r="B16" s="71" t="s">
        <v>35</v>
      </c>
      <c r="C16" s="71" t="s">
        <v>42</v>
      </c>
      <c r="D16" s="71"/>
      <c r="E16" s="71"/>
      <c r="F16" s="68">
        <v>100</v>
      </c>
      <c r="G16" s="163">
        <f>КАФЕДРА!G16</f>
        <v>1</v>
      </c>
      <c r="H16" s="1653">
        <f>КАФЕДРА!H16</f>
        <v>100</v>
      </c>
      <c r="I16" s="163">
        <f>КАФЕДРА!I16</f>
        <v>1</v>
      </c>
      <c r="J16" s="1653">
        <f>КАФЕДРА!J16</f>
        <v>100</v>
      </c>
      <c r="K16" s="163">
        <f>КАФЕДРА!K16</f>
        <v>1</v>
      </c>
      <c r="L16" s="163">
        <f>КАФЕДРА!L16</f>
        <v>1</v>
      </c>
      <c r="M16" s="1654">
        <f>КАФЕДРА!M16</f>
        <v>100</v>
      </c>
      <c r="N16" s="163">
        <f>КАФЕДРА!N16</f>
        <v>1</v>
      </c>
      <c r="O16" s="163">
        <f>КАФЕДРА!O16</f>
        <v>1</v>
      </c>
      <c r="P16" s="1654">
        <f>КАФЕДРА!P16</f>
        <v>100</v>
      </c>
      <c r="Q16" s="163">
        <f>КАФЕДРА!Q16</f>
        <v>1</v>
      </c>
      <c r="R16" s="1653">
        <f>КАФЕДРА!R16</f>
        <v>100</v>
      </c>
      <c r="S16" s="163">
        <f>КАФЕДРА!S16</f>
        <v>1</v>
      </c>
      <c r="T16" s="163">
        <f>КАФЕДРА!T16</f>
        <v>1</v>
      </c>
      <c r="U16" s="1654">
        <f>КАФЕДРА!U16</f>
        <v>100</v>
      </c>
      <c r="V16" s="163">
        <f>КАФЕДРА!V16</f>
        <v>1</v>
      </c>
      <c r="W16" s="163">
        <f>КАФЕДРА!W16</f>
        <v>1</v>
      </c>
      <c r="X16" s="1654">
        <f>КАФЕДРА!X16</f>
        <v>100</v>
      </c>
      <c r="Y16" s="163">
        <f>КАФЕДРА!Y16</f>
        <v>1</v>
      </c>
      <c r="Z16" s="163">
        <f>КАФЕДРА!Z16</f>
        <v>1</v>
      </c>
      <c r="AA16" s="1654">
        <f>КАФЕДРА!AA16</f>
        <v>100</v>
      </c>
      <c r="AB16" s="1553">
        <v>1</v>
      </c>
      <c r="AC16" s="1553">
        <v>1</v>
      </c>
      <c r="AD16" s="1635">
        <v>100</v>
      </c>
      <c r="AE16" s="163">
        <f>КАФЕДРА!AE16</f>
        <v>1</v>
      </c>
      <c r="AF16" s="163">
        <f>КАФЕДРА!AF16</f>
        <v>1</v>
      </c>
      <c r="AG16" s="1654">
        <f>КАФЕДРА!AG16</f>
        <v>100</v>
      </c>
      <c r="AH16" s="163">
        <f>КАФЕДРА!AH16</f>
        <v>1</v>
      </c>
      <c r="AI16" s="163">
        <f>КАФЕДРА!AI16</f>
        <v>1</v>
      </c>
      <c r="AJ16" s="1654">
        <f>КАФЕДРА!AJ16</f>
        <v>100</v>
      </c>
      <c r="AK16" s="163">
        <f>КАФЕДРА!AK16</f>
        <v>1</v>
      </c>
      <c r="AL16" s="163">
        <f>КАФЕДРА!AL16</f>
        <v>1</v>
      </c>
      <c r="AM16" s="163">
        <f>КАФЕДРА!AM16</f>
        <v>1</v>
      </c>
      <c r="AN16" s="1653">
        <f>КАФЕДРА!AN16</f>
        <v>100</v>
      </c>
      <c r="AO16" s="163">
        <f>КАФЕДРА!AO16</f>
        <v>1</v>
      </c>
      <c r="AP16" s="163">
        <f>КАФЕДРА!AP16</f>
        <v>1</v>
      </c>
      <c r="AQ16" s="1653">
        <f>КАФЕДРА!AQ16</f>
        <v>100</v>
      </c>
      <c r="AR16" s="163">
        <f>КАФЕДРА!AR16</f>
        <v>1</v>
      </c>
      <c r="AS16" s="163">
        <f>КАФЕДРА!AS16</f>
        <v>1</v>
      </c>
      <c r="AT16" s="377" t="e">
        <f>КАФЕДРА!AT16</f>
        <v>#DIV/0!</v>
      </c>
      <c r="AU16" s="1653">
        <f>КАФЕДРА!AU16</f>
        <v>100</v>
      </c>
      <c r="AV16" s="163">
        <f>КАФЕДРА!AV16</f>
        <v>1</v>
      </c>
      <c r="AW16" s="163">
        <f>КАФЕДРА!AW16</f>
        <v>1</v>
      </c>
      <c r="AX16" s="163">
        <f>КАФЕДРА!AX16</f>
        <v>1</v>
      </c>
      <c r="AY16" s="163">
        <f>КАФЕДРА!AY16</f>
        <v>1</v>
      </c>
      <c r="AZ16" s="377" t="e">
        <f>КАФЕДРА!AZ16</f>
        <v>#DIV/0!</v>
      </c>
      <c r="BA16" s="757">
        <f>КАФЕДРА!BA16</f>
        <v>11</v>
      </c>
      <c r="BB16" s="757">
        <f>КАФЕДРА!BB16</f>
        <v>111</v>
      </c>
      <c r="BC16" s="757">
        <f>КАФЕДРА!BC16</f>
        <v>110</v>
      </c>
      <c r="BD16" s="757">
        <f>КАФЕДРА!BD16</f>
        <v>100</v>
      </c>
      <c r="BE16" s="163">
        <f>КАФЕДРА!BE16</f>
        <v>1</v>
      </c>
      <c r="BF16" s="163">
        <f>КАФЕДРА!BF16</f>
        <v>1</v>
      </c>
      <c r="BG16" s="377" t="e">
        <f>КАФЕДРА!BG16</f>
        <v>#DIV/0!</v>
      </c>
      <c r="BH16" s="757">
        <f>КАФЕДРА!BH16</f>
        <v>100</v>
      </c>
      <c r="BI16" s="1653">
        <f>КАФЕДРА!BI16</f>
        <v>95</v>
      </c>
      <c r="BJ16" s="163">
        <f>КАФЕДРА!BJ16</f>
        <v>1</v>
      </c>
      <c r="BK16" s="163">
        <f>КАФЕДРА!BK16</f>
        <v>1</v>
      </c>
      <c r="BL16" s="163">
        <f>КАФЕДРА!BL16</f>
        <v>1</v>
      </c>
      <c r="BM16" s="1653">
        <f>КАФЕДРА!BM16</f>
        <v>80</v>
      </c>
      <c r="BN16" s="163">
        <f>КАФЕДРА!BN16</f>
        <v>1</v>
      </c>
      <c r="BO16" s="163">
        <f>КАФЕДРА!BO16</f>
        <v>1</v>
      </c>
      <c r="BP16" s="757">
        <f>КАФЕДРА!BP16</f>
        <v>1.2</v>
      </c>
      <c r="BQ16" s="1653">
        <f>КАФЕДРА!BQ16</f>
        <v>120</v>
      </c>
      <c r="BR16" s="1553">
        <v>1</v>
      </c>
      <c r="BS16" s="1553">
        <v>1</v>
      </c>
      <c r="BT16" s="441">
        <f>100-BU16</f>
        <v>15</v>
      </c>
      <c r="BU16" s="1634">
        <v>85</v>
      </c>
      <c r="BV16" s="1553">
        <v>1</v>
      </c>
      <c r="BW16" s="1553">
        <v>1</v>
      </c>
      <c r="BX16" s="1634">
        <v>32</v>
      </c>
      <c r="BY16" s="163">
        <f>КАФЕДРА!BY16</f>
        <v>1</v>
      </c>
      <c r="BZ16" s="163">
        <f>КАФЕДРА!BZ16</f>
        <v>1</v>
      </c>
      <c r="CA16" s="1653">
        <f>КАФЕДРА!CA16</f>
        <v>85</v>
      </c>
      <c r="CD16" s="33"/>
      <c r="DC16" s="33"/>
      <c r="DD16" s="146"/>
      <c r="DE16" s="146"/>
      <c r="DF16" s="146"/>
      <c r="DG16" s="146"/>
      <c r="DH16" s="146"/>
      <c r="DI16" s="146"/>
      <c r="DJ16" s="146"/>
      <c r="DM16" s="146"/>
      <c r="DO16" s="146"/>
      <c r="DP16" s="146"/>
      <c r="DQ16" s="146"/>
      <c r="DR16" s="146"/>
      <c r="DS16" s="146"/>
      <c r="DT16" s="146"/>
      <c r="DU16" s="146"/>
    </row>
    <row r="17" spans="1:130" s="76" customFormat="1" ht="15" x14ac:dyDescent="0.2">
      <c r="A17" s="71" t="s">
        <v>36</v>
      </c>
      <c r="B17" s="71" t="s">
        <v>35</v>
      </c>
      <c r="C17" s="71" t="s">
        <v>43</v>
      </c>
      <c r="D17" s="77"/>
      <c r="E17" s="77"/>
      <c r="F17" s="78">
        <v>0</v>
      </c>
      <c r="G17" s="163">
        <f>КАФЕДРА!G17</f>
        <v>0</v>
      </c>
      <c r="H17" s="1658">
        <f>КАФЕДРА!H17</f>
        <v>0</v>
      </c>
      <c r="I17" s="163">
        <f>КАФЕДРА!I17</f>
        <v>0</v>
      </c>
      <c r="J17" s="1658">
        <f>КАФЕДРА!J17</f>
        <v>0</v>
      </c>
      <c r="K17" s="163">
        <f>КАФЕДРА!K17</f>
        <v>0</v>
      </c>
      <c r="L17" s="163">
        <f>КАФЕДРА!L17</f>
        <v>0</v>
      </c>
      <c r="M17" s="1659">
        <f>КАФЕДРА!M17</f>
        <v>0</v>
      </c>
      <c r="N17" s="163">
        <f>КАФЕДРА!N17</f>
        <v>0</v>
      </c>
      <c r="O17" s="163">
        <f>КАФЕДРА!O17</f>
        <v>0</v>
      </c>
      <c r="P17" s="1659">
        <f>КАФЕДРА!P17</f>
        <v>0</v>
      </c>
      <c r="Q17" s="163">
        <f>КАФЕДРА!Q17</f>
        <v>0</v>
      </c>
      <c r="R17" s="1658">
        <f>КАФЕДРА!R17</f>
        <v>0</v>
      </c>
      <c r="S17" s="163">
        <f>КАФЕДРА!S17</f>
        <v>0</v>
      </c>
      <c r="T17" s="163">
        <f>КАФЕДРА!T17</f>
        <v>0</v>
      </c>
      <c r="U17" s="1659">
        <f>КАФЕДРА!U17</f>
        <v>0</v>
      </c>
      <c r="V17" s="163">
        <f>КАФЕДРА!V17</f>
        <v>0</v>
      </c>
      <c r="W17" s="163">
        <f>КАФЕДРА!W17</f>
        <v>0</v>
      </c>
      <c r="X17" s="1659">
        <f>КАФЕДРА!X17</f>
        <v>0</v>
      </c>
      <c r="Y17" s="163">
        <f>КАФЕДРА!Y17</f>
        <v>0</v>
      </c>
      <c r="Z17" s="163">
        <f>КАФЕДРА!Z17</f>
        <v>0</v>
      </c>
      <c r="AA17" s="1659">
        <f>КАФЕДРА!AA17</f>
        <v>0</v>
      </c>
      <c r="AB17" s="1553">
        <v>0</v>
      </c>
      <c r="AC17" s="1553">
        <v>0</v>
      </c>
      <c r="AD17" s="1660">
        <v>0</v>
      </c>
      <c r="AE17" s="163">
        <f>КАФЕДРА!AE17</f>
        <v>0</v>
      </c>
      <c r="AF17" s="163">
        <f>КАФЕДРА!AF17</f>
        <v>0</v>
      </c>
      <c r="AG17" s="1659">
        <f>КАФЕДРА!AG17</f>
        <v>100</v>
      </c>
      <c r="AH17" s="163">
        <f>КАФЕДРА!AH17</f>
        <v>0</v>
      </c>
      <c r="AI17" s="163">
        <f>КАФЕДРА!AI17</f>
        <v>0</v>
      </c>
      <c r="AJ17" s="1659">
        <f>КАФЕДРА!AJ17</f>
        <v>100</v>
      </c>
      <c r="AK17" s="163">
        <f>КАФЕДРА!AK17</f>
        <v>0</v>
      </c>
      <c r="AL17" s="163">
        <f>КАФЕДРА!AL17</f>
        <v>0</v>
      </c>
      <c r="AM17" s="163">
        <f>КАФЕДРА!AM17</f>
        <v>0</v>
      </c>
      <c r="AN17" s="1658">
        <f>КАФЕДРА!AN17</f>
        <v>0</v>
      </c>
      <c r="AO17" s="163">
        <f>КАФЕДРА!AO17</f>
        <v>0</v>
      </c>
      <c r="AP17" s="163">
        <f>КАФЕДРА!AP17</f>
        <v>0</v>
      </c>
      <c r="AQ17" s="1658">
        <f>КАФЕДРА!AQ17</f>
        <v>0</v>
      </c>
      <c r="AR17" s="163">
        <f>КАФЕДРА!AR17</f>
        <v>0</v>
      </c>
      <c r="AS17" s="163">
        <f>КАФЕДРА!AS17</f>
        <v>0</v>
      </c>
      <c r="AT17" s="163">
        <f>КАФЕДРА!AT17</f>
        <v>0</v>
      </c>
      <c r="AU17" s="1658">
        <f>КАФЕДРА!AU17</f>
        <v>0</v>
      </c>
      <c r="AV17" s="163">
        <f>КАФЕДРА!AV17</f>
        <v>0</v>
      </c>
      <c r="AW17" s="163">
        <f>КАФЕДРА!AW17</f>
        <v>0</v>
      </c>
      <c r="AX17" s="163">
        <f>КАФЕДРА!AX17</f>
        <v>0</v>
      </c>
      <c r="AY17" s="163">
        <f>КАФЕДРА!AY17</f>
        <v>0</v>
      </c>
      <c r="AZ17" s="1661" t="e">
        <f>КАФЕДРА!AZ17</f>
        <v>#DIV/0!</v>
      </c>
      <c r="BA17" s="757">
        <f>КАФЕДРА!BA17</f>
        <v>0</v>
      </c>
      <c r="BB17" s="757">
        <f>КАФЕДРА!BB17</f>
        <v>100</v>
      </c>
      <c r="BC17" s="757">
        <f>КАФЕДРА!BC17</f>
        <v>100</v>
      </c>
      <c r="BD17" s="757">
        <f>КАФЕДРА!BD17</f>
        <v>95</v>
      </c>
      <c r="BE17" s="163">
        <f>КАФЕДРА!BE17</f>
        <v>0</v>
      </c>
      <c r="BF17" s="163">
        <f>КАФЕДРА!BF17</f>
        <v>0</v>
      </c>
      <c r="BG17" s="163">
        <f>КАФЕДРА!BG17</f>
        <v>0</v>
      </c>
      <c r="BH17" s="75">
        <f>КАФЕДРА!BH17</f>
        <v>0</v>
      </c>
      <c r="BI17" s="1658">
        <f>КАФЕДРА!BI17</f>
        <v>0</v>
      </c>
      <c r="BJ17" s="163">
        <f>КАФЕДРА!BJ17</f>
        <v>0</v>
      </c>
      <c r="BK17" s="163">
        <f>КАФЕДРА!BK17</f>
        <v>0</v>
      </c>
      <c r="BL17" s="163">
        <f>КАФЕДРА!BL17</f>
        <v>0</v>
      </c>
      <c r="BM17" s="1658">
        <f>КАФЕДРА!BM17</f>
        <v>70</v>
      </c>
      <c r="BN17" s="163">
        <f>КАФЕДРА!BN17</f>
        <v>0</v>
      </c>
      <c r="BO17" s="163">
        <f>КАФЕДРА!BO17</f>
        <v>0</v>
      </c>
      <c r="BP17" s="757">
        <f>КАФЕДРА!BP17</f>
        <v>0.99</v>
      </c>
      <c r="BQ17" s="1658">
        <f>КАФЕДРА!BQ17</f>
        <v>99</v>
      </c>
      <c r="BR17" s="1553">
        <v>0</v>
      </c>
      <c r="BS17" s="1553">
        <v>0</v>
      </c>
      <c r="BT17" s="1553">
        <v>0</v>
      </c>
      <c r="BU17" s="1662">
        <v>70</v>
      </c>
      <c r="BV17" s="1553">
        <v>0</v>
      </c>
      <c r="BW17" s="1553">
        <v>0</v>
      </c>
      <c r="BX17" s="1662">
        <v>30</v>
      </c>
      <c r="BY17" s="163">
        <f>КАФЕДРА!BY17</f>
        <v>0</v>
      </c>
      <c r="BZ17" s="163">
        <f>КАФЕДРА!BZ17</f>
        <v>0</v>
      </c>
      <c r="CA17" s="1658">
        <f>КАФЕДРА!CA17</f>
        <v>70</v>
      </c>
      <c r="CD17" s="33"/>
      <c r="DC17" s="33"/>
      <c r="DD17" s="146"/>
      <c r="DE17" s="146"/>
      <c r="DF17" s="146"/>
      <c r="DG17" s="146"/>
      <c r="DH17" s="146"/>
      <c r="DI17" s="146"/>
      <c r="DJ17" s="146"/>
      <c r="DM17" s="146"/>
      <c r="DO17" s="146"/>
      <c r="DP17" s="146"/>
      <c r="DQ17" s="146"/>
      <c r="DR17" s="146"/>
      <c r="DS17" s="146"/>
      <c r="DT17" s="146"/>
      <c r="DU17" s="146"/>
    </row>
    <row r="18" spans="1:130" s="82" customFormat="1" ht="16.5" customHeight="1" x14ac:dyDescent="0.2">
      <c r="A18" s="80"/>
      <c r="B18" s="81"/>
      <c r="F18" s="83"/>
      <c r="G18" s="81"/>
      <c r="H18" s="85">
        <f>IF(H$19&gt;H$16,100,H$19/H$16*100)</f>
        <v>100</v>
      </c>
      <c r="I18" s="81"/>
      <c r="J18" s="85">
        <f>IF(J$19&gt;J$16,100,J$19/J$16*100)</f>
        <v>100</v>
      </c>
      <c r="K18" s="84"/>
      <c r="L18" s="84"/>
      <c r="M18" s="85">
        <f>IF(M$19&gt;M$16,100,M$19/M$16*100)</f>
        <v>100</v>
      </c>
      <c r="N18" s="81"/>
      <c r="O18" s="81"/>
      <c r="P18" s="85">
        <f>IF(P$19&gt;P$16,100,P$19/P$16*100)</f>
        <v>100</v>
      </c>
      <c r="Q18" s="85"/>
      <c r="R18" s="85">
        <f>IF(R$19&gt;R$16,100,R$19/R$16*100)</f>
        <v>100</v>
      </c>
      <c r="S18" s="84"/>
      <c r="T18" s="84"/>
      <c r="U18" s="85">
        <f>IF(U$19&gt;U$16,100,U$19/U$16*100)</f>
        <v>100</v>
      </c>
      <c r="V18" s="84"/>
      <c r="W18" s="84"/>
      <c r="X18" s="85">
        <f>IF(X$19&gt;X$16,100,X$19/X$16*100)</f>
        <v>100</v>
      </c>
      <c r="Y18" s="84"/>
      <c r="Z18" s="84"/>
      <c r="AA18" s="85">
        <f>IF(AA$19&gt;AA$16,100,AA$19/AA$16*100)</f>
        <v>100</v>
      </c>
      <c r="AB18" s="85"/>
      <c r="AC18" s="85"/>
      <c r="AD18" s="85">
        <f>IF(AD$19&gt;AD$16,100,AD$19/AD$16*100)</f>
        <v>100</v>
      </c>
      <c r="AE18" s="84"/>
      <c r="AF18" s="84"/>
      <c r="AG18" s="85">
        <f>IF(AG$19&gt;AG$16,100,AG$19/AG$16*100)</f>
        <v>100</v>
      </c>
      <c r="AH18" s="81"/>
      <c r="AI18" s="81"/>
      <c r="AJ18" s="85">
        <f>IF(AJ$19&gt;AJ$16,100,AJ$19/AJ$16*100)</f>
        <v>100</v>
      </c>
      <c r="AK18" s="86"/>
      <c r="AL18" s="86"/>
      <c r="AM18" s="86"/>
      <c r="AN18" s="85">
        <f>IF(AN$19&gt;AN$16,100,AN$19/AN$16*100)</f>
        <v>0</v>
      </c>
      <c r="AO18" s="81"/>
      <c r="AP18" s="81"/>
      <c r="AQ18" s="85">
        <f>IF(AQ$19&gt;AQ$16,100,AQ$19/AQ$16*100)</f>
        <v>100</v>
      </c>
      <c r="AR18" s="81"/>
      <c r="AS18" s="81"/>
      <c r="AT18" s="81"/>
      <c r="AU18" s="85">
        <f>IF(AU$19&gt;AU$16,100,AU$19/AU$16*100)</f>
        <v>100</v>
      </c>
      <c r="AV18" s="81"/>
      <c r="AW18" s="81"/>
      <c r="AX18" s="81"/>
      <c r="AY18" s="81"/>
      <c r="AZ18" s="81"/>
      <c r="BA18" s="85">
        <f>IF(BA$19&gt;BA$16,100,BA$19/BA$16*100)</f>
        <v>-375.4857646911795</v>
      </c>
      <c r="BB18" s="85">
        <f>IF(BB$19&gt;BB$16,100,BB$19/BB$16*100)</f>
        <v>52.87978908465788</v>
      </c>
      <c r="BC18" s="159"/>
      <c r="BD18" s="159"/>
      <c r="BE18" s="81"/>
      <c r="BF18" s="81"/>
      <c r="BG18" s="81"/>
      <c r="BH18" s="85">
        <f>IF(BH$19&gt;BH$16,100,BH$19/BH$16*100)</f>
        <v>100</v>
      </c>
      <c r="BI18" s="85">
        <f>IF(BI$19&gt;BI$16,100,BI$19/BI$16*100)</f>
        <v>100</v>
      </c>
      <c r="BM18" s="85">
        <f>IF(BM$19&gt;BM$16,100,BM$19/BM$16*100)</f>
        <v>100</v>
      </c>
      <c r="BQ18" s="85" t="e">
        <f>IF(BQ$19&gt;BQ$16,100,BQ$19/BQ$16*100)</f>
        <v>#DIV/0!</v>
      </c>
      <c r="BU18" s="85">
        <f>IF(BU$19&gt;BU$16,100,BU$19/BU$16*100)</f>
        <v>100</v>
      </c>
      <c r="BX18" s="85">
        <f>IF(BX$19&gt;BX$16,100,BX$19/BX$16*100)</f>
        <v>100</v>
      </c>
      <c r="CA18" s="85">
        <f>IF(CA$19&gt;CA$16,100,CA$19/CA$16*100)</f>
        <v>100</v>
      </c>
      <c r="CD18" s="87"/>
      <c r="DC18" s="87"/>
      <c r="DD18" s="148"/>
      <c r="DE18" s="148"/>
      <c r="DF18" s="148"/>
      <c r="DG18" s="148"/>
      <c r="DH18" s="148"/>
      <c r="DI18" s="148"/>
      <c r="DJ18" s="148"/>
      <c r="DM18" s="148"/>
      <c r="DO18" s="148"/>
      <c r="DP18" s="148"/>
      <c r="DQ18" s="148"/>
      <c r="DR18" s="148"/>
      <c r="DS18" s="148"/>
      <c r="DT18" s="148"/>
      <c r="DU18" s="148"/>
    </row>
    <row r="19" spans="1:130" s="92" customFormat="1" ht="18" x14ac:dyDescent="0.25">
      <c r="A19" s="88" t="s">
        <v>90</v>
      </c>
      <c r="B19" s="88" t="s">
        <v>35</v>
      </c>
      <c r="C19" s="158">
        <f>SUM(C$20:C$119)</f>
        <v>0</v>
      </c>
      <c r="D19" s="158"/>
      <c r="E19" s="158" t="s">
        <v>16</v>
      </c>
      <c r="F19" s="158" t="s">
        <v>16</v>
      </c>
      <c r="G19" s="1596">
        <f>SUM(G$20:G$101)</f>
        <v>0</v>
      </c>
      <c r="H19" s="1597">
        <f t="shared" ref="H19:H27" si="0">IF(G19&gt;0,0,100)</f>
        <v>100</v>
      </c>
      <c r="I19" s="1596">
        <f>SUM(I$20:I$101)</f>
        <v>0</v>
      </c>
      <c r="J19" s="1597">
        <f t="shared" ref="J19:J27" si="1">IF(I19&gt;0,0,100)</f>
        <v>100</v>
      </c>
      <c r="K19" s="1596">
        <f>SUM(K$20:K$101)</f>
        <v>0</v>
      </c>
      <c r="L19" s="1596">
        <f>SUM(L$20:L$101)</f>
        <v>0</v>
      </c>
      <c r="M19" s="1597" t="str">
        <f>IF((L19&gt;0),K19/L19*100,нет)</f>
        <v>нет</v>
      </c>
      <c r="N19" s="1596">
        <f>SUM(N$20:N$101)</f>
        <v>0</v>
      </c>
      <c r="O19" s="1596">
        <f>SUM(O$20:O$101)</f>
        <v>0</v>
      </c>
      <c r="P19" s="1597" t="str">
        <f>IF((O19&gt;0),N19/O19*100,нет)</f>
        <v>нет</v>
      </c>
      <c r="Q19" s="1596">
        <f>SUM(Q$20:Q$101)</f>
        <v>0</v>
      </c>
      <c r="R19" s="1600">
        <f>IF(Q19&gt;0,0,100)</f>
        <v>100</v>
      </c>
      <c r="S19" s="1596">
        <f>SUM(S$20:S$101)</f>
        <v>0</v>
      </c>
      <c r="T19" s="1596">
        <f>SUM(T$20:T$101)</f>
        <v>0</v>
      </c>
      <c r="U19" s="1597" t="str">
        <f>IF(T19=0,"нет",S19/T19*100)</f>
        <v>нет</v>
      </c>
      <c r="V19" s="1596">
        <f>SUM(V$20:V$101)</f>
        <v>0</v>
      </c>
      <c r="W19" s="1596">
        <f>SUM(W$20:W$101)</f>
        <v>0</v>
      </c>
      <c r="X19" s="1597" t="str">
        <f>IF(W19=0,"нет",V19/W19*100)</f>
        <v>нет</v>
      </c>
      <c r="Y19" s="1596">
        <f>SUM(Y$20:Y$101)</f>
        <v>0</v>
      </c>
      <c r="Z19" s="1596">
        <f>SUM(Z$20:Z$101)</f>
        <v>0</v>
      </c>
      <c r="AA19" s="1597" t="str">
        <f>IF(Z19=0,"нет",Y19/Z19*100)</f>
        <v>нет</v>
      </c>
      <c r="AB19" s="1596">
        <f>SUM(AB$20:AB$101)</f>
        <v>0</v>
      </c>
      <c r="AC19" s="1596">
        <f>SUM(AC$20:AC$101)</f>
        <v>0</v>
      </c>
      <c r="AD19" s="1597" t="str">
        <f>IF(AC19=0,"нет",AB19/AC19*100)</f>
        <v>нет</v>
      </c>
      <c r="AE19" s="1596">
        <f>SUM(AE$20:AE$101)</f>
        <v>0</v>
      </c>
      <c r="AF19" s="1596">
        <f>SUM(AF$20:AF$101)</f>
        <v>0</v>
      </c>
      <c r="AG19" s="1597" t="str">
        <f>IF(AF19=0,"нет",AE19/AF19*100)</f>
        <v>нет</v>
      </c>
      <c r="AH19" s="1598">
        <f>SUM(AH$20:AH$101)</f>
        <v>0</v>
      </c>
      <c r="AI19" s="1598">
        <f>SUM(AI$20:AI$101)</f>
        <v>0</v>
      </c>
      <c r="AJ19" s="1597" t="str">
        <f t="shared" ref="AJ19:AJ27" si="2">IF($AI19=0,нет,$AH19/$AI19*100)</f>
        <v>нет</v>
      </c>
      <c r="AK19" s="1599">
        <f>SUM(AK$20:AK$101)/COUNT(AK20:AK27)</f>
        <v>0</v>
      </c>
      <c r="AL19" s="1599">
        <f>SUM(AL$20:AL$101)/COUNT(AL20:AL27)</f>
        <v>0</v>
      </c>
      <c r="AM19" s="1599">
        <f>SUM(AM$20:AM$101)/COUNT(AM20:AM27)</f>
        <v>0</v>
      </c>
      <c r="AN19" s="1599">
        <f t="array" ref="AN19">ПрофРабота!$C19</f>
        <v>0</v>
      </c>
      <c r="AO19" s="1596">
        <f>SUM(AO$20:AO$101)</f>
        <v>0</v>
      </c>
      <c r="AP19" s="1596">
        <f>SUM(AP$20:AP$101)</f>
        <v>0</v>
      </c>
      <c r="AQ19" s="1597" t="str">
        <f>IF(AP19=0,"нет",AO19/AP19*100)</f>
        <v>нет</v>
      </c>
      <c r="AR19" s="1906">
        <f>SUM(AR$20:AR$101)</f>
        <v>7128441</v>
      </c>
      <c r="AS19" s="1906">
        <f>SUM(AS$20:AS$101)</f>
        <v>5932000</v>
      </c>
      <c r="AT19" s="1906" t="e">
        <f>IF(($E19="да"),IF(AR19=0,0,AR19/$C19),"нет")</f>
        <v>#DIV/0!</v>
      </c>
      <c r="AU19" s="1597">
        <f>IF(($E19="да"),IF(AS19=0,"нет",AR19/AS19*100),"нет")</f>
        <v>120.1692683749157</v>
      </c>
      <c r="AV19" s="1906">
        <f>SUM(AV$20:AV$101)</f>
        <v>7128441</v>
      </c>
      <c r="AW19" s="1906">
        <f>SUM(AW$20:AW$101)</f>
        <v>1553966</v>
      </c>
      <c r="AX19" s="1906">
        <f>SUM(AX$20:AX$101)</f>
        <v>12144562.279999999</v>
      </c>
      <c r="AY19" s="1906">
        <f>SUM(AY$20:AY$101)</f>
        <v>2004057.74</v>
      </c>
      <c r="AZ19" s="1910" t="e">
        <f>(AV19+AW19)/$C19</f>
        <v>#DIV/0!</v>
      </c>
      <c r="BA19" s="1597">
        <f t="array" ref="BA19">IF(($E19="да"),IF($AX19=0,"нет",$AV19/$AX19*100-100),"нет")</f>
        <v>-41.303434116029749</v>
      </c>
      <c r="BB19" s="1597">
        <f t="array" ref="BB19">IF(($E19="да"),IF($AX19=0,"нет",$AV19/$AX19*100),"нет")</f>
        <v>58.696565883970251</v>
      </c>
      <c r="BC19" s="1597">
        <f>IF(($E19="да"),IF(AS19&gt;0,AU19,нет),нет)</f>
        <v>120.1692683749157</v>
      </c>
      <c r="BD19" s="380" t="e">
        <f t="array" ref="BD19">IF(($E19="да"),IF(AR19&gt;0,MAX($AZ19/$AZ$16*BD$16,IF($BA19&gt;0,$BB19,0)/$BB$16*BD$16),нет),нет)</f>
        <v>#DIV/0!</v>
      </c>
      <c r="BE19" s="1598">
        <f>SUM(BE$20:BE$101)</f>
        <v>1553966</v>
      </c>
      <c r="BF19" s="1598">
        <f>SUM(BF$20:BF$101)</f>
        <v>1553966</v>
      </c>
      <c r="BG19" s="1598" t="e">
        <f>IF(($E19="да"),IF(BE19=0,0,BE19/$C19),"нет")</f>
        <v>#DIV/0!</v>
      </c>
      <c r="BH19" s="1597">
        <f>IF(($E19="да"),IF(BF19=0,"нет",BE19/BF19*100),"нет")</f>
        <v>100</v>
      </c>
      <c r="BI19" s="332">
        <f t="array" ref="BI19">IF(($E19="да")+($F19="да"),IF((BF19+AS19)=0,"нет",(AR19+BE19)/(BF19+AS19)*100),"нет")</f>
        <v>115.98245303278161</v>
      </c>
      <c r="BJ19" s="1598">
        <f>SUM(BJ$20:BJ$101)</f>
        <v>0</v>
      </c>
      <c r="BK19" s="1598">
        <f>SUM(BK$20:BK$101)</f>
        <v>0</v>
      </c>
      <c r="BL19" s="1598">
        <f>SUM(BL$20:BL$101)</f>
        <v>0</v>
      </c>
      <c r="BM19" s="1600" t="str">
        <f t="shared" ref="BM19:BM27" si="3">IF(BL19=0,"нет",BK19/BL19*100)</f>
        <v>нет</v>
      </c>
      <c r="BN19" s="1598">
        <f>SUM(BN$20:BN$101)</f>
        <v>0</v>
      </c>
      <c r="BO19" s="1598">
        <f>SUM(BO$20:BO$101)</f>
        <v>0</v>
      </c>
      <c r="BP19" s="1598" t="e">
        <f>BO19/BN19</f>
        <v>#DIV/0!</v>
      </c>
      <c r="BQ19" s="1597" t="e">
        <f t="shared" ref="BQ19:BQ27" si="4">IF(BJ19/BN19&lt;$BP$17,0,120)</f>
        <v>#DIV/0!</v>
      </c>
      <c r="BR19" s="1598">
        <f>SUM(BR$20:BR$100)</f>
        <v>0</v>
      </c>
      <c r="BS19" s="1598">
        <f>SUM(BS$20:BS$100)</f>
        <v>0</v>
      </c>
      <c r="BT19" s="1598">
        <f>IF(BS19=0,0,BR19/BS19*100)</f>
        <v>0</v>
      </c>
      <c r="BU19" s="1598">
        <f>100-BT19</f>
        <v>100</v>
      </c>
      <c r="BV19" s="1597">
        <f>SUM(BV$20:BV$104)</f>
        <v>0</v>
      </c>
      <c r="BW19" s="1597">
        <f>SUM(BW$20:BW$104)</f>
        <v>0</v>
      </c>
      <c r="BX19" s="1597" t="str">
        <f>IF(BW19=0,"нет",BW19/BV19*100)</f>
        <v>нет</v>
      </c>
      <c r="BY19" s="1598">
        <f>SUM(BY$20:BY$101)</f>
        <v>0</v>
      </c>
      <c r="BZ19" s="1598">
        <f>SUM(BZ$20:BZ$101)</f>
        <v>0</v>
      </c>
      <c r="CA19" s="1597" t="str">
        <f>IF(BZ19=0,"нет",BY19/BZ19*100)</f>
        <v>нет</v>
      </c>
      <c r="CD19" s="96"/>
      <c r="CF19" s="93" t="e">
        <f t="array" ref="CF19">SUM(IF($F19:$CA19=нет,0,IF($F19:$CA19&gt;=$F$16:$CA$16,$F$16:$CA$16,IF($F19:$CA19&lt;$F$17:$CA$17,0,$F19:$CA19)))*$F$11:$CA$11*($F$108:$CA$108=CF$4)/$F$16:$CA$16*($F$110:$CA$119*($B$110:$B$119=$B19)*($A$110:$A$119=$A$108)))</f>
        <v>#DIV/0!</v>
      </c>
      <c r="CG19" s="93" t="e">
        <f t="array" ref="CG19">SUM(IF($F19:$CA19=нет,0,IF($F19:$CA19&gt;=$F$16:$CA$16,$F$16:$CA$16,IF($F19:$CA19&lt;$F$17:$CA$17,0,$F19:$CA19)))*$F$11:$CA$11*($F$108:$CA$108=CG$4)/$F$16:$CA$16*($F$110:$CA$119*($B$110:$B$119=$B19)*($A$110:$A$119=$A$108)))</f>
        <v>#DIV/0!</v>
      </c>
      <c r="CH19" s="93" t="e">
        <f t="array" ref="CH19">SUM(IF($F19:$CA19=нет,0,IF($F19:$CA19&gt;=$F$16:$CA$16,$F$16:$CA$16,IF($F19:$CA19&lt;$F$17:$CA$17,0,$F19:$CA19)))*$F$11:$CA$11*($F$109:$CA$109=CH$4)/$F$16:$CA$16*($F$110:$CA$119*($B$110:$B$119=$B19)*($A$110:$A$119=$A$108)))</f>
        <v>#DIV/0!</v>
      </c>
      <c r="CI19" s="93">
        <v>0</v>
      </c>
      <c r="CJ19" s="93" t="e">
        <f t="array" ref="CJ19">SUM(IF($F19:$CA19=нет,0,IF($F19:$CA19&gt;=$F$16:$CA$16,$F$16:$CA$16,IF($F19:$CA19&lt;$F$17:$CA$17,0,$F19:$CA19)))*$F$11:$CA$11*($F$108:$CA$108=CJ$4)/$F$16:$CA$16*($F$110:$CA$119*($B$110:$B$119=$B19)*($A$110:$A$119=$A$108)))</f>
        <v>#DIV/0!</v>
      </c>
      <c r="CK19" s="93" t="e">
        <f t="array" ref="CK19">SUM(IF($F19:$CA19=нет,0,IF($F19:$CA19&gt;=$F$16:$CA$16,$F$16:$CA$16,IF($F19:$CA19&lt;$F$17:$CA$17,0,$F19:$CA19)))*$F$11:$CA$11*($F$108:$CA$108=CK$4)/$F$16:$CA$16*($F$110:$CA$119*($B$110:$B$119=$B19)*($A$110:$A$119=$A$108)))</f>
        <v>#DIV/0!</v>
      </c>
      <c r="CL19" s="93" t="e">
        <f t="array" ref="CL19">SUM(IF($F19:$CA19=нет,0,IF($F19:$CA19&gt;=$F$16:$CA$16,$F$16:$CA$16,IF($F19:$CA19&lt;$F$17:$CA$17,0,$F19:$CA19)))*$F$11:$CA$11*($F$108:$CA$108=CL$4)/$F$16:$CA$16*($F$110:$CA$119*($B$110:$B$119=$B19)*($A$110:$A$119=$A$108)))</f>
        <v>#DIV/0!</v>
      </c>
      <c r="CN19" s="1106" t="e">
        <f t="array" ref="CN19">SUM(IF($F19:$CA19=нет,0,100)*$F$11:$CA$11*($F$108:$CA$108=CN$4)/100*($F$110:$CA$119*($B$110:$B$119=$B19)*($A$110:$A$119=$A$108)))</f>
        <v>#DIV/0!</v>
      </c>
      <c r="CO19" s="1106" t="e">
        <f t="array" ref="CO19">SUM(IF($F19:$CA19=нет,0,100)*$F$11:$CA$11*($F$108:$CA$108=CO$4)/100*($F$110:$CA$119*($B$110:$B$119=$B19)*($A$110:$A$119=$A$108)))</f>
        <v>#DIV/0!</v>
      </c>
      <c r="CP19" s="1106" t="e">
        <f t="array" ref="CP19">SUM(IF($F19:$CA19=нет,0,100)*$F$11:$CA$11*($F$109:$CA$109=CP$4)/100*($F$110:$CA$119*($B$110:$B$119=$B19)*($A$110:$A$119=$A$108)))</f>
        <v>#DIV/0!</v>
      </c>
      <c r="CQ19" s="1106">
        <f>IF(OR(ТИТУЛ!$B$22=2,ТИТУЛ!$B$22=4),23,0)</f>
        <v>23</v>
      </c>
      <c r="CR19" s="1106" t="e">
        <f t="array" ref="CR19">SUM(IF($F19:$CA19=нет,0,100)*$F$11:$CA$11*($F$108:$CA$108=CR$4)/100*($F$110:$CA$119*($B$110:$B$119=$B19)*($A$110:$A$119=$A$108)))</f>
        <v>#DIV/0!</v>
      </c>
      <c r="CS19" s="1106" t="e">
        <f t="array" ref="CS19">SUM(IF($F19:$CA19=нет,0,100)*$F$11:$CA$11*($F$108:$CA$108=CS$4)/100*($F$110:$CA$119*($B$110:$B$119=$B19)*($A$110:$A$119=$A$108)))</f>
        <v>#DIV/0!</v>
      </c>
      <c r="CT19" s="1106" t="e">
        <f t="array" ref="CT19">SUM(IF($F19:$CA19=нет,0,100)*$F$11:$CA$11*($F$108:$CA$108=CT$4)/100*($F$110:$CA$119*($B$110:$B$119=$B19)*($A$110:$A$119=$A$108)))</f>
        <v>#DIV/0!</v>
      </c>
      <c r="CV19" s="760" t="e">
        <f>SUM(CF19:CG19,CI19:CL19,'«ВУЗ-РЕГИОН»(кафедры)'!W19,' "Вуз зож" (кафедры)'!S19)</f>
        <v>#DIV/0!</v>
      </c>
      <c r="CW19" s="760" t="e">
        <f>SUM(CN19:CO19,CQ19:CT19,'«ВУЗ-РЕГИОН»(кафедры)'!X19,' "Вуз зож" (кафедры)'!T19)</f>
        <v>#DIV/0!</v>
      </c>
      <c r="CX19" s="759" t="e">
        <f>IF(CW19=0,0,CV19/CW19*100)</f>
        <v>#DIV/0!</v>
      </c>
      <c r="CZ19" s="760" t="e">
        <f>SUM(CH19:CJ19,CL19,'«ВУЗ-РЕГИОН»(кафедры)'!W19,' "Вуз зож" (кафедры)'!S19)</f>
        <v>#DIV/0!</v>
      </c>
      <c r="DA19" s="760" t="e">
        <f>SUM(CP19:CR19,CT19,'«ВУЗ-РЕГИОН»(кафедры)'!X19,' "Вуз зож" (кафедры)'!T19)</f>
        <v>#DIV/0!</v>
      </c>
      <c r="DB19" s="759" t="e">
        <f>IF(DA19=0,0,CZ19/DA19*100)</f>
        <v>#DIV/0!</v>
      </c>
      <c r="DC19" s="96"/>
      <c r="DD19" s="168" t="e">
        <f t="shared" ref="DD19:DD27" si="5">IF(CN19=0,0,TEXT(CF19/CN19*100,"0,0")&amp;"%
="&amp;TEXT(CF19,"0,0")&amp;"/"&amp;TEXT(CN19,"0,0"))</f>
        <v>#DIV/0!</v>
      </c>
      <c r="DE19" s="168" t="e">
        <f t="shared" ref="DE19:DE27" si="6">IF(CO19=0,0,TEXT(CG19/CO19*100,"0,0")&amp;"%
="&amp;TEXT(CG19,"0,0")&amp;"/"&amp;TEXT(CO19,"0,0"))</f>
        <v>#DIV/0!</v>
      </c>
      <c r="DF19" s="168" t="e">
        <f t="shared" ref="DF19:DF27" si="7">IF(CP19=0,0,TEXT(CH19/CP19*100,"0,0")&amp;"%
="&amp;TEXT(CH19,"0,0")&amp;"/"&amp;TEXT(CP19,"0,0"))</f>
        <v>#DIV/0!</v>
      </c>
      <c r="DG19" s="168" t="str">
        <f t="shared" ref="DG19:DG27" si="8">IF(CQ19=0,0,TEXT(CI19/CQ19*100,"0,0")&amp;"%
="&amp;TEXT(CI19,"0,0")&amp;"/"&amp;TEXT(CQ19,"0,0"))</f>
        <v>0,0%
=0,0/23,0</v>
      </c>
      <c r="DH19" s="168" t="e">
        <f t="shared" ref="DH19:DH27" si="9">IF(CR19=0,0,TEXT(CJ19/CR19*100,"0,0")&amp;"%
="&amp;TEXT(CJ19,"0,0")&amp;"/"&amp;TEXT(CR19,"0,0"))</f>
        <v>#DIV/0!</v>
      </c>
      <c r="DI19" s="168" t="e">
        <f t="shared" ref="DI19:DI27" si="10">IF(CS19=0,0,TEXT(CK19/CS19*100,"0,0")&amp;"%
="&amp;TEXT(CK19,"0,0")&amp;"/"&amp;TEXT(CS19,"0,0"))</f>
        <v>#DIV/0!</v>
      </c>
      <c r="DJ19" s="168" t="e">
        <f t="shared" ref="DJ19:DJ27" si="11">IF(CT19=0,0,TEXT(CL19/CT19*100,"0,0")&amp;"%
="&amp;TEXT(CL19,"0,0")&amp;"/"&amp;TEXT(CT19,"0,0"))</f>
        <v>#DIV/0!</v>
      </c>
      <c r="DK19" s="92" t="str">
        <f t="shared" ref="DK19:DK27" si="12">A19</f>
        <v>сумма по кафедрам</v>
      </c>
      <c r="DM19" s="168" t="e">
        <f>IF(CW19=0,0,TEXT(CV19/CW19*100,"0,0")&amp;"%
="&amp;TEXT(CV19,"0,0")&amp;"/"&amp;TEXT(CW19,"0,0"))</f>
        <v>#DIV/0!</v>
      </c>
      <c r="DO19" s="92" t="e">
        <f t="array" ref="DO19">((CF19/CN19)*80+(ИНСТИТУТ!CS19/ИНСТИТУТ!DB19)*20)/100</f>
        <v>#DIV/0!</v>
      </c>
      <c r="DP19" s="92" t="e">
        <f>((CG19/CO19)*80+(ИНСТИТУТ!CT19/ИНСТИТУТ!DC19)*20)/100</f>
        <v>#DIV/0!</v>
      </c>
      <c r="DQ19" s="92" t="e">
        <f>((CH19/CP19)*80+(ИНСТИТУТ!CU19/ИНСТИТУТ!DD19)*20)/100</f>
        <v>#DIV/0!</v>
      </c>
      <c r="DR19" s="92" t="e">
        <f>((CI19/CQ19)*80+(ИНСТИТУТ!CV19/ИНСТИТУТ!DE19)*20)/100</f>
        <v>#DIV/0!</v>
      </c>
      <c r="DS19" s="92" t="e">
        <f>((CJ19/CR19)*80+(ИНСТИТУТ!CW19/ИНСТИТУТ!DF19)*20)/100</f>
        <v>#DIV/0!</v>
      </c>
      <c r="DT19" s="92" t="e">
        <f>((CK19/CS19)*80+(ИНСТИТУТ!CY19/ИНСТИТУТ!DH19)*20)/100</f>
        <v>#DIV/0!</v>
      </c>
      <c r="DU19" s="92" t="e">
        <f>((CL19/CT19)*80+(ИНСТИТУТ!CZ19/ИНСТИТУТ!DI19)*20)/100</f>
        <v>#DIV/0!</v>
      </c>
      <c r="DZ19" s="92" t="e">
        <f>(CX19*80+ИНСТИТУТ!DM19*20)/100</f>
        <v>#DIV/0!</v>
      </c>
    </row>
    <row r="20" spans="1:130" ht="18" x14ac:dyDescent="0.25">
      <c r="A20" s="139" t="str">
        <f>ИНСТИТУТ!A20</f>
        <v>Институт клинической медицины</v>
      </c>
      <c r="B20" s="97" t="s">
        <v>35</v>
      </c>
      <c r="C20" s="139">
        <f t="array" ref="C20">SUM(IF(КАФЕДРА!$D$20:$D$75=$D20,КАФЕДРА!$C$20:$C$75,0))</f>
        <v>0</v>
      </c>
      <c r="D20" s="139" t="str">
        <f t="shared" ref="D20:D27" si="13">CC20</f>
        <v>КМЕДИЦИНЫ</v>
      </c>
      <c r="E20" s="157" t="s">
        <v>16</v>
      </c>
      <c r="F20" s="157" t="s">
        <v>31</v>
      </c>
      <c r="G20" s="1601">
        <f t="array" ref="G20">SUM(IF(КАФЕДРА!$D$20:$D$78=$D20,КАФЕДРА!G$20:G$78,0))</f>
        <v>0</v>
      </c>
      <c r="H20" s="1600">
        <f t="shared" si="0"/>
        <v>100</v>
      </c>
      <c r="I20" s="1601">
        <f t="array" ref="I20">SUM(IF(КАФЕДРА!$D$20:$D$78=$D20,КАФЕДРА!I$20:I$78,0))</f>
        <v>0</v>
      </c>
      <c r="J20" s="1600">
        <f t="shared" si="1"/>
        <v>100</v>
      </c>
      <c r="K20" s="1609">
        <f t="array" ref="K20">SUM(IF(КАФЕДРА!$D$20:$D$78=$D20,КАФЕДРА!K$20:K$78,0))</f>
        <v>0</v>
      </c>
      <c r="L20" s="1609">
        <f t="array" ref="L20">SUM(IF(КАФЕДРА!$D$20:$D$78=$D20,КАФЕДРА!L$20:L$78,0))</f>
        <v>0</v>
      </c>
      <c r="M20" s="1610" t="str">
        <f>IF((L20&gt;0),K20/L20*100,IF(K20&gt;0,100,нет))</f>
        <v>нет</v>
      </c>
      <c r="N20" s="1609">
        <f t="array" ref="N20">SUM(IF(КАФЕДРА!$D$20:$D$78=$D20,КАФЕДРА!N$20:N$78,0))</f>
        <v>0</v>
      </c>
      <c r="O20" s="1609">
        <f t="array" ref="O20">SUM(IF(КАФЕДРА!$D$20:$D$78=$D20,КАФЕДРА!O$20:O$78,0))</f>
        <v>0</v>
      </c>
      <c r="P20" s="1611" t="str">
        <f>IF((O20&gt;0),N20/O20*100,IF(N20&gt;0,100,нет))</f>
        <v>нет</v>
      </c>
      <c r="Q20" s="1601">
        <f t="array" ref="Q20">SUM(IF(КАФЕДРА!$D$20:$D$78=$D20,КАФЕДРА!Q$20:Q$78,0))</f>
        <v>0</v>
      </c>
      <c r="R20" s="1600">
        <f>IF(Q20&gt;0,0,100)</f>
        <v>100</v>
      </c>
      <c r="S20" s="1601">
        <f t="array" ref="S20">SUM(IF(КАФЕДРА!$D$20:$D$78=$D20,КАФЕДРА!S$20:S$78,0))</f>
        <v>0</v>
      </c>
      <c r="T20" s="1601">
        <f t="array" ref="T20">SUM(IF(КАФЕДРА!$D$20:$D$78=$D20,КАФЕДРА!T$20:T$78,0))</f>
        <v>0</v>
      </c>
      <c r="U20" s="1600" t="str">
        <f>IF(T20=0,"нет",S20/T20*100)</f>
        <v>нет</v>
      </c>
      <c r="V20" s="1601">
        <f t="array" ref="V20">SUM(IF(КАФЕДРА!$D$20:$D$78=$D20,КАФЕДРА!V$20:V$78,0))</f>
        <v>0</v>
      </c>
      <c r="W20" s="1601">
        <f>SUM(IF(КАФЕДРА!$D$20:$D$78=$D20,КАФЕДРА!W$20:W$78,0))</f>
        <v>0</v>
      </c>
      <c r="X20" s="1600" t="str">
        <f>IF(W20=0,"нет",V20/W20*100)</f>
        <v>нет</v>
      </c>
      <c r="Y20" s="1601">
        <f t="array" ref="Y20">SUM(IF(КАФЕДРА!$D$20:$D$78=$D20,КАФЕДРА!Y$20:Y$78,0))</f>
        <v>0</v>
      </c>
      <c r="Z20" s="1601">
        <f t="array" ref="Z20">SUM(IF(КАФЕДРА!$D$20:$D$78=$D20,КАФЕДРА!Z$20:Z$78,0))</f>
        <v>0</v>
      </c>
      <c r="AA20" s="1600" t="str">
        <f>IF(Z20=0,"нет",Y20/Z20*100)</f>
        <v>нет</v>
      </c>
      <c r="AB20" s="1601">
        <f>SUM(IF(КАФЕДРА!$D$20:$D$78=$D20,КАФЕДРА!AB$20:AB$78,0))</f>
        <v>0</v>
      </c>
      <c r="AC20" s="1601">
        <f>SUM(IF(КАФЕДРА!$D$20:$D$78=$D20,КАФЕДРА!AC$20:AC$78,0))</f>
        <v>0</v>
      </c>
      <c r="AD20" s="1600" t="str">
        <f>IF(AC20=0,"нет",AB20/AC20*100)</f>
        <v>нет</v>
      </c>
      <c r="AE20" s="1601">
        <f t="array" ref="AE20">SUM(IF(КАФЕДРА!$D$20:$D$78=$D20,КАФЕДРА!AE$20:AE$78,0))</f>
        <v>0</v>
      </c>
      <c r="AF20" s="1601">
        <f t="array" ref="AF20">SUM(IF(КАФЕДРА!$D$20:$D$78=$D20,КАФЕДРА!AF$20:AF$78,0))</f>
        <v>0</v>
      </c>
      <c r="AG20" s="1600" t="str">
        <f>IF(AF20=0,"нет",AE20/AF20*100)</f>
        <v>нет</v>
      </c>
      <c r="AH20" s="1601">
        <f>SUM(IF(КАФЕДРА!$D$20:$D$78=$D20,КАФЕДРА!AH$20:AH$78,0))</f>
        <v>0</v>
      </c>
      <c r="AI20" s="1601">
        <f>SUM(IF(КАФЕДРА!$D$20:$D$78=$D20,КАФЕДРА!AI$20:AI$78,0))</f>
        <v>0</v>
      </c>
      <c r="AJ20" s="1600" t="str">
        <f t="shared" si="2"/>
        <v>нет</v>
      </c>
      <c r="AK20" s="1613">
        <f t="array" ref="AK20">SUM(IF(КАФЕДРА!$D$20:$D$78=$D20,КАФЕДРА!AK$20:AK$78,0))/SUM(IF(КАФЕДРА!$D$20:$D$78=$D20,1,0))</f>
        <v>0</v>
      </c>
      <c r="AL20" s="1613">
        <f t="array" ref="AL20">SUM(IF(КАФЕДРА!$D$20:$D$78=$D20,КАФЕДРА!AL$20:AL$78,0))/SUM(IF(КАФЕДРА!$D$20:$D$78=$D20,1,0))</f>
        <v>0</v>
      </c>
      <c r="AM20" s="1613">
        <f t="array" ref="AM20">SUM(IF(КАФЕДРА!$D$20:$D$78=$D20,КАФЕДРА!AM$20:AM$78,0))/SUM(IF(КАФЕДРА!$D$20:$D$78=$D20,1,0))</f>
        <v>0</v>
      </c>
      <c r="AN20" s="1616">
        <f t="array" ref="AN20">SUM(IF(AK20:AM20&gt;100,100,AK20:AM20))/3</f>
        <v>0</v>
      </c>
      <c r="AO20" s="1614">
        <f t="array" ref="AO20">SUM(IF(КАФЕДРА!$D$20:$D$78=$D20,КАФЕДРА!AO$20:AO$78,0))</f>
        <v>0</v>
      </c>
      <c r="AP20" s="1614">
        <f t="array" ref="AP20">SUM(IF(КАФЕДРА!$D$20:$D$78=$D20,КАФЕДРА!AP$20:AP$78,0))</f>
        <v>0</v>
      </c>
      <c r="AQ20" s="342" t="str">
        <f>IF((AP20&gt;0),AO20/AP20*100,IF(AO20&gt;0,100,нет))</f>
        <v>нет</v>
      </c>
      <c r="AR20" s="1907">
        <f t="array" ref="AR20">SUM(IF(КАФЕДРА!$D$20:$D$78=$D20,КАФЕДРА!AR$20:AR$78,0))</f>
        <v>3223760</v>
      </c>
      <c r="AS20" s="1907">
        <f t="array" ref="AS20">SUM(IF(КАФЕДРА!$D$20:$D$78=$D20,КАФЕДРА!AS$20:AS$78,0))</f>
        <v>2955000</v>
      </c>
      <c r="AT20" s="1908" t="e">
        <f>IF(($E20="да"),IF(AR20=0,0,AR20/$C20),"нет")</f>
        <v>#DIV/0!</v>
      </c>
      <c r="AU20" s="1604">
        <f>IF(($E20="да"),IF(AS20=0,"нет",AR20/AS20*100),"нет")</f>
        <v>109.09509306260577</v>
      </c>
      <c r="AV20" s="1907">
        <f t="array" ref="AV20">SUM(IF(КАФЕДРА!$D$20:$D$75=$D20,КАФЕДРА!AV$20:AV$75,0))</f>
        <v>3223760</v>
      </c>
      <c r="AW20" s="1907">
        <f t="array" ref="AW20">SUM(IF(КАФЕДРА!$D$20:$D$75=$D20,КАФЕДРА!AW$20:AW$75,0))</f>
        <v>61200</v>
      </c>
      <c r="AX20" s="1907">
        <f t="array" ref="AX20">SUM(IF(КАФЕДРА!$D$20:$D$75=$D20,КАФЕДРА!AX$20:AX$75,0))</f>
        <v>5982906.5300000003</v>
      </c>
      <c r="AY20" s="1907">
        <f t="array" ref="AY20">SUM(IF(КАФЕДРА!$D$20:$D$75=$D20,КАФЕДРА!AY$20:AY$75,0))</f>
        <v>163800</v>
      </c>
      <c r="AZ20" s="510" t="e">
        <f>(AV20+AW20)/$C20</f>
        <v>#DIV/0!</v>
      </c>
      <c r="BA20" s="1604">
        <f t="array" ref="BA20">IF(($E20="да"),IF($AX20=0,"нет",$AV20/$AX20*100-100),"нет")</f>
        <v>-46.117159212915205</v>
      </c>
      <c r="BB20" s="1604">
        <f t="array" ref="BB20">IF(($E20="да"),IF($AX20=0,"нет",$AV20/$AX20*100),"нет")</f>
        <v>53.882840787084795</v>
      </c>
      <c r="BC20" s="1604">
        <f>IF(($E20="да"),IF(AS20&gt;0,AU20,нет),нет)</f>
        <v>109.09509306260577</v>
      </c>
      <c r="BD20" s="331" t="e">
        <f t="array" ref="BD20">IF(($E20="да"),IF(AR20&gt;0,MAX($AZ20/$AZ$16*BD$16,IF(($BA20&gt;0)*ISNUMBER($BA20),$BB20/$BB$16*BD$16,0)),нет),нет)</f>
        <v>#DIV/0!</v>
      </c>
      <c r="BE20" s="1602">
        <f t="array" ref="BE20">SUM(IF(КАФЕДРА!$D$20:$D$75=$D20,КАФЕДРА!BE$20:BE$75,0))</f>
        <v>61200</v>
      </c>
      <c r="BF20" s="1602">
        <f t="array" ref="BF20">SUM(IF(КАФЕДРА!$D$20:$D$75=$D20,КАФЕДРА!BF$20:BF$75,0))</f>
        <v>61200</v>
      </c>
      <c r="BG20" s="1603" t="e">
        <f>IF(($E20="да"),IF(BE20=0,0,BE20/$C20),"нет")</f>
        <v>#DIV/0!</v>
      </c>
      <c r="BH20" s="1604">
        <f>IF(($E20="да"),IF(BF20=0,"нет",BE20/BF20*100),"нет")</f>
        <v>100</v>
      </c>
      <c r="BI20" s="331">
        <f t="array" ref="BI20">IF(($E20="да")+($F20="да"),IF((BF20+AS20)=0,"нет",(AR20+BE20)/(BF20+AS20)*100),"нет")</f>
        <v>108.91054969829588</v>
      </c>
      <c r="BJ20" s="1618">
        <f t="array" ref="BJ20">SUM(IF(КАФЕДРА!$D$20:$D$75=$D20,КАФЕДРА!BJ$20:BJ$75,0))</f>
        <v>0</v>
      </c>
      <c r="BK20" s="1620">
        <f t="array" ref="BK20">SUM(IF(КАФЕДРА!$D$20:$D$75=$D20,КАФЕДРА!BK$20:BK$75,0))</f>
        <v>0</v>
      </c>
      <c r="BL20" s="1620">
        <f t="array" ref="BL20">SUM(IF(КАФЕДРА!$D$20:$D$75=$D20,КАФЕДРА!BL$20:BL$75,0))</f>
        <v>0</v>
      </c>
      <c r="BM20" s="1628" t="str">
        <f t="shared" si="3"/>
        <v>нет</v>
      </c>
      <c r="BN20" s="1614">
        <f t="shared" ref="BN20:BN27" si="14">$C20</f>
        <v>0</v>
      </c>
      <c r="BO20" s="1622">
        <f t="array" ref="BO20">SUM(IF(КАФЕДРА!$D$20:$D$75=$D20,КАФЕДРА!BO$20:BO$75,0))</f>
        <v>0</v>
      </c>
      <c r="BP20" s="1624" t="e">
        <f>BO20/BN20</f>
        <v>#DIV/0!</v>
      </c>
      <c r="BQ20" s="1629" t="e">
        <f t="shared" si="4"/>
        <v>#DIV/0!</v>
      </c>
      <c r="BR20" s="1622">
        <f t="array" ref="BR20">SUM(IF(КАФЕДРА!$D$20:$D$75=$D20,КАФЕДРА!BR$20:BR$75,0))</f>
        <v>0</v>
      </c>
      <c r="BS20" s="1622">
        <f t="array" ref="BS20">SUM(IF(КАФЕДРА!$D$20:$D$75=$D20,КАФЕДРА!BS$20:BS$75,0))</f>
        <v>0</v>
      </c>
      <c r="BT20" s="1626">
        <f>IF(BS20=0,0,BR20/BS20*100)</f>
        <v>0</v>
      </c>
      <c r="BU20" s="1631">
        <f t="shared" ref="BU20:BU27" si="15">100-BT20</f>
        <v>100</v>
      </c>
      <c r="BV20" s="1622">
        <f t="array" ref="BV20">SUM(IF(КАФЕДРА!$D$20:$D$75=$D20,КАФЕДРА!BV$20:BV$75,0))</f>
        <v>0</v>
      </c>
      <c r="BW20" s="1622">
        <f t="array" ref="BW20">SUM(IF(КАФЕДРА!$D$20:$D$75=$D20,КАФЕДРА!BW$20:BW$75,0))</f>
        <v>0</v>
      </c>
      <c r="BX20" s="1629" t="str">
        <f t="shared" ref="BX20:BX27" si="16">IF(BW20=0,"нет",BW20/BV20*100)</f>
        <v>нет</v>
      </c>
      <c r="BY20" s="1622">
        <f t="array" ref="BY20">SUM(IF(КАФЕДРА!$D$20:$D$75=$D20,КАФЕДРА!BY$20:BY$75,0))</f>
        <v>0</v>
      </c>
      <c r="BZ20" s="1622">
        <f t="array" ref="BZ20">SUM(IF(КАФЕДРА!$D$20:$D$75=$D20,КАФЕДРА!BZ$20:BZ$75,0))</f>
        <v>0</v>
      </c>
      <c r="CA20" s="1629" t="str">
        <f>IF(BZ20=0,"нет",BY20/BZ20*100)</f>
        <v>нет</v>
      </c>
      <c r="CC20" s="162" t="str">
        <f>ИНСТИТУТ!CO20</f>
        <v>КМЕДИЦИНЫ</v>
      </c>
      <c r="CF20" s="93" t="e">
        <f t="array" ref="CF20">SUM(IF($F20:$CA20=нет,0,IF($F20:$CA20&gt;=$F$16:$CA$16,$F$16:$CA$16,IF($F20:$CA20&lt;$F$17:$CA$17,0,$F20:$CA20)))*$F$11:$CA$11*($F$108:$CA$108=CF$4)/$F$16:$CA$16*($F$110:$CA$119*($B$110:$B$119=$B20)*($A$110:$A$119=$A$108)))</f>
        <v>#DIV/0!</v>
      </c>
      <c r="CG20" s="93" t="e">
        <f t="array" ref="CG20">SUM(IF($F20:$CA20=нет,0,IF($F20:$CA20&gt;=$F$16:$CA$16,$F$16:$CA$16,IF($F20:$CA20&lt;$F$17:$CA$17,0,$F20:$CA20)))*$F$11:$CA$11*($F$108:$CA$108=CG$4)/$F$16:$CA$16*($F$110:$CA$119*($B$110:$B$119=$B20)*($A$110:$A$119=$A$108)))</f>
        <v>#DIV/0!</v>
      </c>
      <c r="CH20" s="93" t="e">
        <f t="array" ref="CH20">SUM(IF($F20:$CA20=нет,0,IF($F20:$CA20&gt;=$F$16:$CA$16,$F$16:$CA$16,IF($F20:$CA20&lt;$F$17:$CA$17,0,$F20:$CA20)))*$F$11:$CA$11*($F$109:$CA$109=CH$4)/$F$16:$CA$16*($F$110:$CA$119*($B$110:$B$119=$B20)*($A$110:$A$119=$A$108)))</f>
        <v>#DIV/0!</v>
      </c>
      <c r="CI20" s="93">
        <v>0</v>
      </c>
      <c r="CJ20" s="93" t="e">
        <f t="array" ref="CJ20">SUM(IF($F20:$CA20=нет,0,IF($F20:$CA20&gt;=$F$16:$CA$16,$F$16:$CA$16,IF($F20:$CA20&lt;$F$17:$CA$17,0,$F20:$CA20)))*$F$11:$CA$11*($F$108:$CA$108=CJ$4)/$F$16:$CA$16*($F$110:$CA$119*($B$110:$B$119=$B20)*($A$110:$A$119=$A$108)))</f>
        <v>#DIV/0!</v>
      </c>
      <c r="CK20" s="93" t="e">
        <f t="array" ref="CK20">SUM(IF($F20:$CA20=нет,0,IF($F20:$CA20&gt;=$F$16:$CA$16,$F$16:$CA$16,IF($F20:$CA20&lt;$F$17:$CA$17,0,$F20:$CA20)))*$F$11:$CA$11*($F$108:$CA$108=CK$4)/$F$16:$CA$16*($F$110:$CA$119*($B$110:$B$119=$B20)*($A$110:$A$119=$A$108)))</f>
        <v>#DIV/0!</v>
      </c>
      <c r="CL20" s="93" t="e">
        <f t="array" ref="CL20">SUM(IF($F20:$CA20=нет,0,IF($F20:$CA20&gt;=$F$16:$CA$16,$F$16:$CA$16,IF($F20:$CA20&lt;$F$17:$CA$17,0,$F20:$CA20)))*$F$11:$CA$11*($F$108:$CA$108=CL$4)/$F$16:$CA$16*($F$110:$CA$119*($B$110:$B$119=$B20)*($A$110:$A$119=$A$108)))</f>
        <v>#DIV/0!</v>
      </c>
      <c r="CN20" s="1106" t="e">
        <f t="array" ref="CN20">SUM(IF($F20:$CA20=нет,0,100)*$F$11:$CA$11*($F$108:$CA$108=CN$4)/100*($F$110:$CA$119*($B$110:$B$119=$B20)*($A$110:$A$119=$A$108)))</f>
        <v>#DIV/0!</v>
      </c>
      <c r="CO20" s="1106" t="e">
        <f t="array" ref="CO20">SUM(IF($F20:$CA20=нет,0,100)*$F$11:$CA$11*($F$108:$CA$108=CO$4)/100*($F$110:$CA$119*($B$110:$B$119=$B20)*($A$110:$A$119=$A$108)))</f>
        <v>#DIV/0!</v>
      </c>
      <c r="CP20" s="1106" t="e">
        <f t="array" ref="CP20">SUM(IF($F20:$CA20=нет,0,100)*$F$11:$CA$11*($F$109:$CA$109=CP$4)/100*($F$110:$CA$119*($B$110:$B$119=$B20)*($A$110:$A$119=$A$108)))</f>
        <v>#DIV/0!</v>
      </c>
      <c r="CQ20" s="1106">
        <f>IF(OR(ТИТУЛ!$B$22=2,ТИТУЛ!$B$22=4),23,0)</f>
        <v>23</v>
      </c>
      <c r="CR20" s="1106" t="e">
        <f t="array" ref="CR20">SUM(IF($F20:$CA20=нет,0,100)*$F$11:$CA$11*($F$108:$CA$108=CR$4)/100*($F$110:$CA$119*($B$110:$B$119=$B20)*($A$110:$A$119=$A$108)))</f>
        <v>#DIV/0!</v>
      </c>
      <c r="CS20" s="1106" t="e">
        <f t="array" ref="CS20">SUM(IF($F20:$CA20=нет,0,100)*$F$11:$CA$11*($F$108:$CA$108=CS$4)/100*($F$110:$CA$119*($B$110:$B$119=$B20)*($A$110:$A$119=$A$108)))</f>
        <v>#DIV/0!</v>
      </c>
      <c r="CT20" s="1106" t="e">
        <f t="array" ref="CT20">SUM(IF($F20:$CA20=нет,0,100)*$F$11:$CA$11*($F$108:$CA$108=CT$4)/100*($F$110:$CA$119*($B$110:$B$119=$B20)*($A$110:$A$119=$A$108)))</f>
        <v>#DIV/0!</v>
      </c>
      <c r="CV20" s="760" t="e">
        <f>SUM(CF20:CG20,CI20:CL20,'«ВУЗ-РЕГИОН»(кафедры)'!W20,' "Вуз зож" (кафедры)'!S20)</f>
        <v>#DIV/0!</v>
      </c>
      <c r="CW20" s="760" t="e">
        <f>SUM(CN20:CO20,CQ20:CT20,'«ВУЗ-РЕГИОН»(кафедры)'!X20,' "Вуз зож" (кафедры)'!T20)</f>
        <v>#DIV/0!</v>
      </c>
      <c r="CX20" s="759" t="e">
        <f t="shared" ref="CX20:CX25" si="17">IF(CW20=0,0,CV20/CW20*100)</f>
        <v>#DIV/0!</v>
      </c>
      <c r="CZ20" s="760" t="e">
        <f>SUM(CH20:CJ20,CL20,'«ВУЗ-РЕГИОН»(кафедры)'!W20,' "Вуз зож" (кафедры)'!S20)</f>
        <v>#DIV/0!</v>
      </c>
      <c r="DA20" s="760" t="e">
        <f>SUM(CP20:CR20,CT20,'«ВУЗ-РЕГИОН»(кафедры)'!X20,' "Вуз зож" (кафедры)'!T20)</f>
        <v>#DIV/0!</v>
      </c>
      <c r="DB20" s="759" t="e">
        <f t="shared" ref="DB20:DB25" si="18">IF(DA20=0,0,CZ20/DA20*100)</f>
        <v>#DIV/0!</v>
      </c>
      <c r="DD20" s="168" t="e">
        <f t="shared" si="5"/>
        <v>#DIV/0!</v>
      </c>
      <c r="DE20" s="168" t="e">
        <f t="shared" si="6"/>
        <v>#DIV/0!</v>
      </c>
      <c r="DF20" s="168" t="e">
        <f t="shared" si="7"/>
        <v>#DIV/0!</v>
      </c>
      <c r="DG20" s="168" t="str">
        <f t="shared" si="8"/>
        <v>0,0%
=0,0/23,0</v>
      </c>
      <c r="DH20" s="168" t="e">
        <f t="shared" si="9"/>
        <v>#DIV/0!</v>
      </c>
      <c r="DI20" s="168" t="e">
        <f t="shared" si="10"/>
        <v>#DIV/0!</v>
      </c>
      <c r="DJ20" s="168" t="e">
        <f t="shared" si="11"/>
        <v>#DIV/0!</v>
      </c>
      <c r="DK20" s="92" t="str">
        <f t="shared" si="12"/>
        <v>Институт клинической медицины</v>
      </c>
      <c r="DL20" s="31" t="str">
        <f t="shared" ref="DL20:DL27" si="19">D20</f>
        <v>КМЕДИЦИНЫ</v>
      </c>
      <c r="DM20" s="168" t="e">
        <f t="shared" ref="DM20:DM58" si="20">IF(CW20=0,0,TEXT(CV20/CW20*100,"0,0")&amp;"%
="&amp;TEXT(CV20,"0,0")&amp;"/"&amp;TEXT(CW20,"0,0"))</f>
        <v>#DIV/0!</v>
      </c>
      <c r="DO20" s="92" t="e">
        <f>((CF20/CN20)*80+(ИНСТИТУТ!CS20/ИНСТИТУТ!DB20)*20)/100</f>
        <v>#DIV/0!</v>
      </c>
      <c r="DP20" s="92" t="e">
        <f>((CG20/CO20)*80+(ИНСТИТУТ!CT20/ИНСТИТУТ!DC20)*20)/100</f>
        <v>#DIV/0!</v>
      </c>
      <c r="DQ20" s="92" t="e">
        <f>((CH20/CP20)*80+(ИНСТИТУТ!CU20/ИНСТИТУТ!DD20)*20)/100</f>
        <v>#DIV/0!</v>
      </c>
      <c r="DR20" s="92" t="e">
        <f>((CI20/CQ20)*80+(ИНСТИТУТ!CV20/ИНСТИТУТ!DE20)*20)/100</f>
        <v>#DIV/0!</v>
      </c>
      <c r="DS20" s="92" t="e">
        <f>((CJ20/CR20)*80+(ИНСТИТУТ!CW20/ИНСТИТУТ!DF20)*20)/100</f>
        <v>#DIV/0!</v>
      </c>
      <c r="DT20" s="92" t="e">
        <f>((CK20/CS20)*80+(ИНСТИТУТ!CY20/ИНСТИТУТ!DH20)*20)/100</f>
        <v>#DIV/0!</v>
      </c>
      <c r="DU20" s="92" t="e">
        <f>((CL20/CT20)*80+(ИНСТИТУТ!CZ20/ИНСТИТУТ!DI20)*20)/100</f>
        <v>#DIV/0!</v>
      </c>
      <c r="DZ20" s="92" t="e">
        <f>(CX20*80+ИНСТИТУТ!DM20*20)/100</f>
        <v>#DIV/0!</v>
      </c>
    </row>
    <row r="21" spans="1:130" ht="18" x14ac:dyDescent="0.25">
      <c r="A21" s="139" t="str">
        <f>ИНСТИТУТ!A21</f>
        <v>Институт педиатрии</v>
      </c>
      <c r="B21" s="97" t="s">
        <v>35</v>
      </c>
      <c r="C21" s="139">
        <f t="array" ref="C21">SUM(IF(КАФЕДРА!$D$20:$D$75=$D21,КАФЕДРА!$C$20:$C$75,0))</f>
        <v>0</v>
      </c>
      <c r="D21" s="139" t="str">
        <f t="shared" si="13"/>
        <v>ПЕДИАТРИИ</v>
      </c>
      <c r="E21" s="157" t="s">
        <v>16</v>
      </c>
      <c r="F21" s="157" t="s">
        <v>31</v>
      </c>
      <c r="G21" s="1601">
        <f t="array" ref="G21">SUM(IF(КАФЕДРА!$D$20:$D$78=$D21,КАФЕДРА!G$20:G$78,0))</f>
        <v>0</v>
      </c>
      <c r="H21" s="1600">
        <f t="shared" si="0"/>
        <v>100</v>
      </c>
      <c r="I21" s="1601">
        <f t="array" ref="I21">SUM(IF(КАФЕДРА!$D$20:$D$78=$D21,КАФЕДРА!I$20:I$78,0))</f>
        <v>0</v>
      </c>
      <c r="J21" s="1600">
        <f t="shared" si="1"/>
        <v>100</v>
      </c>
      <c r="K21" s="1609">
        <f t="array" ref="K21">SUM(IF(КАФЕДРА!$D$20:$D$78=$D21,КАФЕДРА!K$20:K$78,0))</f>
        <v>0</v>
      </c>
      <c r="L21" s="1609">
        <f t="array" ref="L21">SUM(IF(КАФЕДРА!$D$20:$D$78=$D21,КАФЕДРА!L$20:L$78,0))</f>
        <v>0</v>
      </c>
      <c r="M21" s="1610" t="str">
        <f t="shared" ref="M21:M27" si="21">IF((L21&gt;0),K21/L21*100,IF(K21&gt;0,100,нет))</f>
        <v>нет</v>
      </c>
      <c r="N21" s="1609">
        <f t="array" ref="N21">SUM(IF(КАФЕДРА!$D$20:$D$78=$D21,КАФЕДРА!N$20:N$78,0))</f>
        <v>0</v>
      </c>
      <c r="O21" s="1609">
        <f t="array" ref="O21">SUM(IF(КАФЕДРА!$D$20:$D$78=$D21,КАФЕДРА!O$20:O$78,0))</f>
        <v>0</v>
      </c>
      <c r="P21" s="1611" t="str">
        <f t="shared" ref="P21:P27" si="22">IF((O21&gt;0),N21/O21*100,IF(N21&gt;0,100,нет))</f>
        <v>нет</v>
      </c>
      <c r="Q21" s="1601">
        <f t="array" ref="Q21">SUM(IF(КАФЕДРА!$D$20:$D$78=$D21,КАФЕДРА!Q$20:Q$78,0))</f>
        <v>0</v>
      </c>
      <c r="R21" s="1600">
        <f t="shared" ref="R21:R27" si="23">IF(Q21&gt;0,0,100)</f>
        <v>100</v>
      </c>
      <c r="S21" s="1601">
        <f t="array" ref="S21">SUM(IF(КАФЕДРА!$D$20:$D$78=$D21,КАФЕДРА!S$20:S$78,0))</f>
        <v>0</v>
      </c>
      <c r="T21" s="1601">
        <f t="array" ref="T21">SUM(IF(КАФЕДРА!$D$20:$D$78=$D21,КАФЕДРА!T$20:T$78,0))</f>
        <v>0</v>
      </c>
      <c r="U21" s="1600" t="str">
        <f t="shared" ref="U21:U27" si="24">IF(T21=0,"нет",S21/T21*100)</f>
        <v>нет</v>
      </c>
      <c r="V21" s="1601">
        <f>SUM(IF(КАФЕДРА!$D$20:$D$78=$D21,КАФЕДРА!V$20:V$78,0))</f>
        <v>0</v>
      </c>
      <c r="W21" s="1601">
        <f>SUM(IF(КАФЕДРА!$D$20:$D$78=$D21,КАФЕДРА!W$20:W$78,0))</f>
        <v>0</v>
      </c>
      <c r="X21" s="1600" t="str">
        <f t="shared" ref="X21:X27" si="25">IF(W21=0,"нет",V21/W21*100)</f>
        <v>нет</v>
      </c>
      <c r="Y21" s="1601">
        <f t="array" ref="Y21">SUM(IF(КАФЕДРА!$D$20:$D$78=$D21,КАФЕДРА!Y$20:Y$78,0))</f>
        <v>0</v>
      </c>
      <c r="Z21" s="1601">
        <f t="array" ref="Z21">SUM(IF(КАФЕДРА!$D$20:$D$78=$D21,КАФЕДРА!Z$20:Z$78,0))</f>
        <v>0</v>
      </c>
      <c r="AA21" s="1600" t="str">
        <f t="shared" ref="AA21:AA27" si="26">IF(Z21=0,"нет",Y21/Z21*100)</f>
        <v>нет</v>
      </c>
      <c r="AB21" s="1601">
        <f>SUM(IF(КАФЕДРА!$D$20:$D$78=$D21,КАФЕДРА!AB$20:AB$78,0))</f>
        <v>0</v>
      </c>
      <c r="AC21" s="1601">
        <f>SUM(IF(КАФЕДРА!$D$20:$D$78=$D21,КАФЕДРА!AC$20:AC$78,0))</f>
        <v>0</v>
      </c>
      <c r="AD21" s="1600" t="str">
        <f t="shared" ref="AD21:AD27" si="27">IF(AC21=0,"нет",AB21/AC21*100)</f>
        <v>нет</v>
      </c>
      <c r="AE21" s="1601">
        <f t="array" ref="AE21">SUM(IF(КАФЕДРА!$D$20:$D$78=$D21,КАФЕДРА!AE$20:AE$78,0))</f>
        <v>0</v>
      </c>
      <c r="AF21" s="1601">
        <f t="array" ref="AF21">SUM(IF(КАФЕДРА!$D$20:$D$78=$D21,КАФЕДРА!AF$20:AF$78,0))</f>
        <v>0</v>
      </c>
      <c r="AG21" s="1600" t="str">
        <f t="shared" ref="AG21:AG27" si="28">IF(AF21=0,"нет",AE21/AF21*100)</f>
        <v>нет</v>
      </c>
      <c r="AH21" s="1601">
        <f>SUM(IF(КАФЕДРА!$D$20:$D$78=$D21,КАФЕДРА!AH$20:AH$78,0))</f>
        <v>0</v>
      </c>
      <c r="AI21" s="1601">
        <f>SUM(IF(КАФЕДРА!$D$20:$D$78=$D21,КАФЕДРА!AI$20:AI$78,0))</f>
        <v>0</v>
      </c>
      <c r="AJ21" s="1600" t="str">
        <f t="shared" si="2"/>
        <v>нет</v>
      </c>
      <c r="AK21" s="1613">
        <f t="array" ref="AK21">SUM(IF(КАФЕДРА!$D$20:$D$78=$D21,КАФЕДРА!AK$20:AK$78,0))/SUM(IF(КАФЕДРА!$D$20:$D$78=$D21,1,0))</f>
        <v>0</v>
      </c>
      <c r="AL21" s="1613">
        <f t="array" ref="AL21">SUM(IF(КАФЕДРА!$D$20:$D$78=$D21,КАФЕДРА!AL$20:AL$78,0))/SUM(IF(КАФЕДРА!$D$20:$D$78=$D21,1,0))</f>
        <v>0</v>
      </c>
      <c r="AM21" s="1613">
        <f t="array" ref="AM21">SUM(IF(КАФЕДРА!$D$20:$D$78=$D21,КАФЕДРА!AM$20:AM$78,0))/SUM(IF(КАФЕДРА!$D$20:$D$78=$D21,1,0))</f>
        <v>0</v>
      </c>
      <c r="AN21" s="1616">
        <f t="array" ref="AN21">SUM(IF(AK21:AM21&gt;100,100,AK21:AM21))/3</f>
        <v>0</v>
      </c>
      <c r="AO21" s="1614">
        <f t="array" ref="AO21">SUM(IF(КАФЕДРА!$D$20:$D$78=$D21,КАФЕДРА!AO$20:AO$78,0))</f>
        <v>0</v>
      </c>
      <c r="AP21" s="1614">
        <f t="array" ref="AP21">SUM(IF(КАФЕДРА!$D$20:$D$78=$D21,КАФЕДРА!AP$20:AP$78,0))</f>
        <v>0</v>
      </c>
      <c r="AQ21" s="342" t="str">
        <f t="shared" ref="AQ21:AQ27" si="29">IF((AP21&gt;0),AO21/AP21*100,IF(AO21&gt;0,100,нет))</f>
        <v>нет</v>
      </c>
      <c r="AR21" s="1907">
        <f t="array" ref="AR21">SUM(IF(КАФЕДРА!$D$20:$D$78=$D21,КАФЕДРА!AR$20:AR$78,0))</f>
        <v>643526</v>
      </c>
      <c r="AS21" s="1907">
        <f t="array" ref="AS21">SUM(IF(КАФЕДРА!$D$20:$D$78=$D21,КАФЕДРА!AS$20:AS$78,0))</f>
        <v>693000</v>
      </c>
      <c r="AT21" s="1908" t="e">
        <f t="shared" ref="AT21:AT27" si="30">IF(($E21="да"),IF(AR21=0,0,AR21/$C21),"нет")</f>
        <v>#DIV/0!</v>
      </c>
      <c r="AU21" s="1604">
        <f t="shared" ref="AU21:AU27" si="31">IF(($E21="да"),IF(AS21=0,"нет",AR21/AS21*100),"нет")</f>
        <v>92.860894660894672</v>
      </c>
      <c r="AV21" s="1907">
        <f t="array" ref="AV21">SUM(IF(КАФЕДРА!$D$20:$D$75=$D21,КАФЕДРА!AV$20:AV$75,0))</f>
        <v>643526</v>
      </c>
      <c r="AW21" s="1907">
        <f t="array" ref="AW21">SUM(IF(КАФЕДРА!$D$20:$D$75=$D21,КАФЕДРА!AW$20:AW$75,0))</f>
        <v>0</v>
      </c>
      <c r="AX21" s="1907">
        <f t="array" ref="AX21">SUM(IF(КАФЕДРА!$D$20:$D$75=$D21,КАФЕДРА!AX$20:AX$75,0))</f>
        <v>1392598.3</v>
      </c>
      <c r="AY21" s="1907">
        <f t="array" ref="AY21">SUM(IF(КАФЕДРА!$D$20:$D$75=$D21,КАФЕДРА!AY$20:AY$75,0))</f>
        <v>0</v>
      </c>
      <c r="AZ21" s="510" t="e">
        <f t="shared" ref="AZ21:AZ27" si="32">(AV21+AW21)/$C21</f>
        <v>#DIV/0!</v>
      </c>
      <c r="BA21" s="1604">
        <f t="array" ref="BA21">IF(($E21="да"),IF($AX21=0,"нет",$AV21/$AX21*100-100),"нет")</f>
        <v>-53.789545772100972</v>
      </c>
      <c r="BB21" s="1604">
        <f t="array" ref="BB21">IF(($E21="да"),IF($AX21=0,"нет",$AV21/$AX21*100),"нет")</f>
        <v>46.210454227899028</v>
      </c>
      <c r="BC21" s="1604">
        <f t="shared" ref="BC21:BC27" si="33">IF(($E21="да"),IF(AS21&gt;0,AU21,нет),нет)</f>
        <v>92.860894660894672</v>
      </c>
      <c r="BD21" s="331" t="e">
        <f t="array" ref="BD21">IF(($E21="да"),IF(AR21&gt;0,MAX($AZ21/$AZ$16*BD$16,IF(($BA21&gt;0)*ISNUMBER($BA21),$BB21/$BB$16*BD$16,0)),нет),нет)</f>
        <v>#DIV/0!</v>
      </c>
      <c r="BE21" s="1602">
        <f t="array" ref="BE21">SUM(IF(КАФЕДРА!$D$20:$D$75=$D21,КАФЕДРА!BE$20:BE$75,0))</f>
        <v>0</v>
      </c>
      <c r="BF21" s="1602">
        <f t="array" ref="BF21">SUM(IF(КАФЕДРА!$D$20:$D$75=$D21,КАФЕДРА!BF$20:BF$75,0))</f>
        <v>0</v>
      </c>
      <c r="BG21" s="1603">
        <f t="shared" ref="BG21:BG27" si="34">IF(($E21="да"),IF(BE21=0,0,BE21/$C21),"нет")</f>
        <v>0</v>
      </c>
      <c r="BH21" s="1604" t="str">
        <f t="shared" ref="BH21:BH27" si="35">IF(($E21="да"),IF(BF21=0,"нет",BE21/BF21*100),"нет")</f>
        <v>нет</v>
      </c>
      <c r="BI21" s="331">
        <f t="array" ref="BI21">IF(($E21="да")+($F21="да"),IF((BF21+AS21)=0,"нет",(AR21+BE21)/(BF21+AS21)*100),"нет")</f>
        <v>92.860894660894672</v>
      </c>
      <c r="BJ21" s="1618">
        <f t="array" ref="BJ21">SUM(IF(КАФЕДРА!$D$20:$D$75=$D21,КАФЕДРА!BJ$20:BJ$75,0))</f>
        <v>0</v>
      </c>
      <c r="BK21" s="1620">
        <f t="array" ref="BK21">SUM(IF(КАФЕДРА!$D$20:$D$75=$D21,КАФЕДРА!BK$20:BK$75,0))</f>
        <v>0</v>
      </c>
      <c r="BL21" s="1620">
        <f t="array" ref="BL21">SUM(IF(КАФЕДРА!$D$20:$D$75=$D21,КАФЕДРА!BL$20:BL$75,0))</f>
        <v>0</v>
      </c>
      <c r="BM21" s="1628" t="str">
        <f t="shared" si="3"/>
        <v>нет</v>
      </c>
      <c r="BN21" s="1614">
        <f t="shared" si="14"/>
        <v>0</v>
      </c>
      <c r="BO21" s="1622">
        <f t="array" ref="BO21">SUM(IF(КАФЕДРА!$D$20:$D$75=$D21,КАФЕДРА!BO$20:BO$75,0))</f>
        <v>0</v>
      </c>
      <c r="BP21" s="1624" t="e">
        <f t="shared" ref="BP21:BP27" si="36">BO21/BN21</f>
        <v>#DIV/0!</v>
      </c>
      <c r="BQ21" s="1629" t="e">
        <f t="array" ref="BQ21">IF(BJ21/BN21&lt;$BP$17,0,120)</f>
        <v>#DIV/0!</v>
      </c>
      <c r="BR21" s="1622">
        <f t="array" ref="BR21">SUM(IF(КАФЕДРА!$D$20:$D$75=$D21,КАФЕДРА!BR$20:BR$75,0))</f>
        <v>0</v>
      </c>
      <c r="BS21" s="1622">
        <f t="array" ref="BS21">SUM(IF(КАФЕДРА!$D$20:$D$75=$D21,КАФЕДРА!BS$20:BS$75,0))</f>
        <v>0</v>
      </c>
      <c r="BT21" s="1626">
        <f t="array" ref="BT21">IF(BS21=0,0,BR21/BS21*100)</f>
        <v>0</v>
      </c>
      <c r="BU21" s="1631">
        <f t="shared" si="15"/>
        <v>100</v>
      </c>
      <c r="BV21" s="1622">
        <f t="array" ref="BV21">SUM(IF(КАФЕДРА!$D$20:$D$75=$D21,КАФЕДРА!BV$20:BV$75,0))</f>
        <v>0</v>
      </c>
      <c r="BW21" s="1622">
        <f t="array" ref="BW21">SUM(IF(КАФЕДРА!$D$20:$D$75=$D21,КАФЕДРА!BW$20:BW$75,0))</f>
        <v>0</v>
      </c>
      <c r="BX21" s="1629" t="str">
        <f t="shared" si="16"/>
        <v>нет</v>
      </c>
      <c r="BY21" s="1622">
        <f t="array" ref="BY21">SUM(IF(КАФЕДРА!$D$20:$D$75=$D21,КАФЕДРА!BY$20:BY$75,0))</f>
        <v>0</v>
      </c>
      <c r="BZ21" s="1622">
        <f t="array" ref="BZ21">SUM(IF(КАФЕДРА!$D$20:$D$75=$D21,КАФЕДРА!BZ$20:BZ$75,0))</f>
        <v>0</v>
      </c>
      <c r="CA21" s="1629" t="str">
        <f t="shared" ref="CA21:CA27" si="37">IF(BZ21=0,"нет",BY21/BZ21*100)</f>
        <v>нет</v>
      </c>
      <c r="CC21" s="162" t="str">
        <f>ИНСТИТУТ!CO21</f>
        <v>ПЕДИАТРИИ</v>
      </c>
      <c r="CF21" s="93" t="e">
        <f t="array" ref="CF21">SUM(IF($F21:$CA21=нет,0,IF($F21:$CA21&gt;=$F$16:$CA$16,$F$16:$CA$16,IF($F21:$CA21&lt;$F$17:$CA$17,0,$F21:$CA21)))*$F$11:$CA$11*($F$108:$CA$108=CF$4)/$F$16:$CA$16*($F$110:$CA$119*($B$110:$B$119=$B21)*($A$110:$A$119=$A$108)))</f>
        <v>#DIV/0!</v>
      </c>
      <c r="CG21" s="93" t="e">
        <f t="array" ref="CG21">SUM(IF($F21:$CA21=нет,0,IF($F21:$CA21&gt;=$F$16:$CA$16,$F$16:$CA$16,IF($F21:$CA21&lt;$F$17:$CA$17,0,$F21:$CA21)))*$F$11:$CA$11*($F$108:$CA$108=CG$4)/$F$16:$CA$16*($F$110:$CA$119*($B$110:$B$119=$B21)*($A$110:$A$119=$A$108)))</f>
        <v>#DIV/0!</v>
      </c>
      <c r="CH21" s="93" t="e">
        <f t="array" ref="CH21">SUM(IF($F21:$CA21=нет,0,IF($F21:$CA21&gt;=$F$16:$CA$16,$F$16:$CA$16,IF($F21:$CA21&lt;$F$17:$CA$17,0,$F21:$CA21)))*$F$11:$CA$11*($F$109:$CA$109=CH$4)/$F$16:$CA$16*($F$110:$CA$119*($B$110:$B$119=$B21)*($A$110:$A$119=$A$108)))</f>
        <v>#DIV/0!</v>
      </c>
      <c r="CI21" s="93">
        <v>0</v>
      </c>
      <c r="CJ21" s="93" t="e">
        <f t="array" ref="CJ21">SUM(IF($F21:$CA21=нет,0,IF($F21:$CA21&gt;=$F$16:$CA$16,$F$16:$CA$16,IF($F21:$CA21&lt;$F$17:$CA$17,0,$F21:$CA21)))*$F$11:$CA$11*($F$108:$CA$108=CJ$4)/$F$16:$CA$16*($F$110:$CA$119*($B$110:$B$119=$B21)*($A$110:$A$119=$A$108)))</f>
        <v>#DIV/0!</v>
      </c>
      <c r="CK21" s="93" t="e">
        <f t="array" ref="CK21">SUM(IF($F21:$CA21=нет,0,IF($F21:$CA21&gt;=$F$16:$CA$16,$F$16:$CA$16,IF($F21:$CA21&lt;$F$17:$CA$17,0,$F21:$CA21)))*$F$11:$CA$11*($F$108:$CA$108=CK$4)/$F$16:$CA$16*($F$110:$CA$119*($B$110:$B$119=$B21)*($A$110:$A$119=$A$108)))</f>
        <v>#DIV/0!</v>
      </c>
      <c r="CL21" s="93" t="e">
        <f t="array" ref="CL21">SUM(IF($F21:$CA21=нет,0,IF($F21:$CA21&gt;=$F$16:$CA$16,$F$16:$CA$16,IF($F21:$CA21&lt;$F$17:$CA$17,0,$F21:$CA21)))*$F$11:$CA$11*($F$108:$CA$108=CL$4)/$F$16:$CA$16*($F$110:$CA$119*($B$110:$B$119=$B21)*($A$110:$A$119=$A$108)))</f>
        <v>#DIV/0!</v>
      </c>
      <c r="CN21" s="1106" t="e">
        <f t="array" ref="CN21">SUM(IF($F21:$CA21=нет,0,100)*$F$11:$CA$11*($F$108:$CA$108=CN$4)/100*($F$110:$CA$119*($B$110:$B$119=$B21)*($A$110:$A$119=$A$108)))</f>
        <v>#DIV/0!</v>
      </c>
      <c r="CO21" s="1106" t="e">
        <f t="array" ref="CO21">SUM(IF($F21:$CA21=нет,0,100)*$F$11:$CA$11*($F$108:$CA$108=CO$4)/100*($F$110:$CA$119*($B$110:$B$119=$B21)*($A$110:$A$119=$A$108)))</f>
        <v>#DIV/0!</v>
      </c>
      <c r="CP21" s="1106" t="e">
        <f t="array" ref="CP21">SUM(IF($F21:$CA21=нет,0,100)*$F$11:$CA$11*($F$109:$CA$109=CP$4)/100*($F$110:$CA$119*($B$110:$B$119=$B21)*($A$110:$A$119=$A$108)))</f>
        <v>#DIV/0!</v>
      </c>
      <c r="CQ21" s="1106">
        <f>IF(OR(ТИТУЛ!$B$22=2,ТИТУЛ!$B$22=4),23,0)</f>
        <v>23</v>
      </c>
      <c r="CR21" s="1106" t="e">
        <f t="array" ref="CR21">SUM(IF($F21:$CA21=нет,0,100)*$F$11:$CA$11*($F$108:$CA$108=CR$4)/100*($F$110:$CA$119*($B$110:$B$119=$B21)*($A$110:$A$119=$A$108)))</f>
        <v>#DIV/0!</v>
      </c>
      <c r="CS21" s="1106" t="e">
        <f t="array" ref="CS21">SUM(IF($F21:$CA21=нет,0,100)*$F$11:$CA$11*($F$108:$CA$108=CS$4)/100*($F$110:$CA$119*($B$110:$B$119=$B21)*($A$110:$A$119=$A$108)))</f>
        <v>#DIV/0!</v>
      </c>
      <c r="CT21" s="1106" t="e">
        <f t="array" ref="CT21">SUM(IF($F21:$CA21=нет,0,100)*$F$11:$CA$11*($F$108:$CA$108=CT$4)/100*($F$110:$CA$119*($B$110:$B$119=$B21)*($A$110:$A$119=$A$108)))</f>
        <v>#DIV/0!</v>
      </c>
      <c r="CV21" s="760" t="e">
        <f>SUM(CF21:CG21,CI21:CL21,'«ВУЗ-РЕГИОН»(кафедры)'!W21,' "Вуз зож" (кафедры)'!S21)</f>
        <v>#DIV/0!</v>
      </c>
      <c r="CW21" s="760" t="e">
        <f>SUM(CN21:CO21,CQ21:CT21,'«ВУЗ-РЕГИОН»(кафедры)'!X21,' "Вуз зож" (кафедры)'!T21)</f>
        <v>#DIV/0!</v>
      </c>
      <c r="CX21" s="759" t="e">
        <f t="shared" si="17"/>
        <v>#DIV/0!</v>
      </c>
      <c r="CZ21" s="760" t="e">
        <f>SUM(CH21:CJ21,CL21,'«ВУЗ-РЕГИОН»(кафедры)'!W21,' "Вуз зож" (кафедры)'!S21)</f>
        <v>#DIV/0!</v>
      </c>
      <c r="DA21" s="760" t="e">
        <f>SUM(CP21:CR21,CT21,'«ВУЗ-РЕГИОН»(кафедры)'!X21,' "Вуз зож" (кафедры)'!T21)</f>
        <v>#DIV/0!</v>
      </c>
      <c r="DB21" s="759" t="e">
        <f t="shared" si="18"/>
        <v>#DIV/0!</v>
      </c>
      <c r="DD21" s="168" t="e">
        <f t="shared" si="5"/>
        <v>#DIV/0!</v>
      </c>
      <c r="DE21" s="168" t="e">
        <f t="shared" si="6"/>
        <v>#DIV/0!</v>
      </c>
      <c r="DF21" s="168" t="e">
        <f t="shared" si="7"/>
        <v>#DIV/0!</v>
      </c>
      <c r="DG21" s="168" t="str">
        <f t="shared" si="8"/>
        <v>0,0%
=0,0/23,0</v>
      </c>
      <c r="DH21" s="168" t="e">
        <f t="shared" si="9"/>
        <v>#DIV/0!</v>
      </c>
      <c r="DI21" s="168" t="e">
        <f t="shared" si="10"/>
        <v>#DIV/0!</v>
      </c>
      <c r="DJ21" s="168" t="e">
        <f t="shared" si="11"/>
        <v>#DIV/0!</v>
      </c>
      <c r="DK21" s="92" t="str">
        <f t="shared" si="12"/>
        <v>Институт педиатрии</v>
      </c>
      <c r="DL21" s="31" t="str">
        <f t="shared" si="19"/>
        <v>ПЕДИАТРИИ</v>
      </c>
      <c r="DM21" s="168" t="e">
        <f t="shared" si="20"/>
        <v>#DIV/0!</v>
      </c>
      <c r="DO21" s="92" t="e">
        <f>((CF21/CN21)*80+(ИНСТИТУТ!CS21/ИНСТИТУТ!DB21)*20)/100</f>
        <v>#DIV/0!</v>
      </c>
      <c r="DP21" s="92" t="e">
        <f>((CG21/CO21)*80+(ИНСТИТУТ!CT21/ИНСТИТУТ!DC21)*20)/100</f>
        <v>#DIV/0!</v>
      </c>
      <c r="DQ21" s="92" t="e">
        <f>((CH21/CP21)*80+(ИНСТИТУТ!CU21/ИНСТИТУТ!DD21)*20)/100</f>
        <v>#DIV/0!</v>
      </c>
      <c r="DR21" s="92" t="e">
        <f>((CI21/CQ21)*80+(ИНСТИТУТ!CV21/ИНСТИТУТ!DE21)*20)/100</f>
        <v>#DIV/0!</v>
      </c>
      <c r="DS21" s="92" t="e">
        <f>((CJ21/CR21)*80+(ИНСТИТУТ!CW21/ИНСТИТУТ!DF21)*20)/100</f>
        <v>#DIV/0!</v>
      </c>
      <c r="DT21" s="92" t="e">
        <f>((CK21/CS21)*80+(ИНСТИТУТ!CY21/ИНСТИТУТ!DH21)*20)/100</f>
        <v>#DIV/0!</v>
      </c>
      <c r="DU21" s="92" t="e">
        <f>((CL21/CT21)*80+(ИНСТИТУТ!CZ21/ИНСТИТУТ!DI21)*20)/100</f>
        <v>#DIV/0!</v>
      </c>
      <c r="DZ21" s="92" t="e">
        <f>(CX21*80+ИНСТИТУТ!DM21*20)/100</f>
        <v>#DIV/0!</v>
      </c>
    </row>
    <row r="22" spans="1:130" ht="18" x14ac:dyDescent="0.25">
      <c r="A22" s="139" t="str">
        <f>ИНСТИТУТ!A22</f>
        <v>Институт стоматологии</v>
      </c>
      <c r="B22" s="97" t="s">
        <v>35</v>
      </c>
      <c r="C22" s="139">
        <f t="array" ref="C22">SUM(IF(КАФЕДРА!$D$20:$D$75=$D22,КАФЕДРА!$C$20:$C$75,0))</f>
        <v>0</v>
      </c>
      <c r="D22" s="139" t="str">
        <f t="shared" si="13"/>
        <v>СТОМ</v>
      </c>
      <c r="E22" s="157" t="s">
        <v>16</v>
      </c>
      <c r="F22" s="157" t="s">
        <v>16</v>
      </c>
      <c r="G22" s="1601">
        <f t="array" ref="G22">SUM(IF(КАФЕДРА!$D$20:$D$78=$D22,КАФЕДРА!G$20:G$78,0))</f>
        <v>0</v>
      </c>
      <c r="H22" s="1600">
        <f t="shared" si="0"/>
        <v>100</v>
      </c>
      <c r="I22" s="1601">
        <f t="array" ref="I22">SUM(IF(КАФЕДРА!$D$20:$D$78=$D22,КАФЕДРА!I$20:I$78,0))</f>
        <v>0</v>
      </c>
      <c r="J22" s="1600">
        <f t="shared" si="1"/>
        <v>100</v>
      </c>
      <c r="K22" s="1609">
        <f t="array" ref="K22">SUM(IF(КАФЕДРА!$D$20:$D$78=$D22,КАФЕДРА!K$20:K$78,0))</f>
        <v>0</v>
      </c>
      <c r="L22" s="1609">
        <f t="array" ref="L22">SUM(IF(КАФЕДРА!$D$20:$D$78=$D22,КАФЕДРА!L$20:L$78,0))</f>
        <v>0</v>
      </c>
      <c r="M22" s="1610" t="str">
        <f t="shared" si="21"/>
        <v>нет</v>
      </c>
      <c r="N22" s="1609">
        <f t="array" ref="N22">SUM(IF(КАФЕДРА!$D$20:$D$78=$D22,КАФЕДРА!N$20:N$78,0))</f>
        <v>0</v>
      </c>
      <c r="O22" s="1609">
        <f t="array" ref="O22">SUM(IF(КАФЕДРА!$D$20:$D$78=$D22,КАФЕДРА!O$20:O$78,0))</f>
        <v>0</v>
      </c>
      <c r="P22" s="1611" t="str">
        <f t="shared" si="22"/>
        <v>нет</v>
      </c>
      <c r="Q22" s="1601">
        <f t="array" ref="Q22">SUM(IF(КАФЕДРА!$D$20:$D$78=$D22,КАФЕДРА!Q$20:Q$78,0))</f>
        <v>0</v>
      </c>
      <c r="R22" s="1600">
        <f t="shared" si="23"/>
        <v>100</v>
      </c>
      <c r="S22" s="1601">
        <f t="array" ref="S22">SUM(IF(КАФЕДРА!$D$20:$D$78=$D22,КАФЕДРА!S$20:S$78,0))</f>
        <v>0</v>
      </c>
      <c r="T22" s="1601">
        <f t="array" ref="T22">SUM(IF(КАФЕДРА!$D$20:$D$78=$D22,КАФЕДРА!T$20:T$78,0))</f>
        <v>0</v>
      </c>
      <c r="U22" s="1600" t="str">
        <f t="shared" si="24"/>
        <v>нет</v>
      </c>
      <c r="V22" s="1601">
        <f>SUM(IF(КАФЕДРА!$D$20:$D$78=$D22,КАФЕДРА!V$20:V$78,0))</f>
        <v>0</v>
      </c>
      <c r="W22" s="1601">
        <f>SUM(IF(КАФЕДРА!$D$20:$D$78=$D22,КАФЕДРА!W$20:W$78,0))</f>
        <v>0</v>
      </c>
      <c r="X22" s="1600" t="str">
        <f t="shared" si="25"/>
        <v>нет</v>
      </c>
      <c r="Y22" s="1601">
        <f t="array" ref="Y22">SUM(IF(КАФЕДРА!$D$20:$D$78=$D22,КАФЕДРА!Y$20:Y$78,0))</f>
        <v>0</v>
      </c>
      <c r="Z22" s="1601">
        <f t="array" ref="Z22">SUM(IF(КАФЕДРА!$D$20:$D$78=$D22,КАФЕДРА!Z$20:Z$78,0))</f>
        <v>0</v>
      </c>
      <c r="AA22" s="1600" t="str">
        <f t="shared" si="26"/>
        <v>нет</v>
      </c>
      <c r="AB22" s="1601">
        <f>SUM(IF(КАФЕДРА!$D$20:$D$78=$D22,КАФЕДРА!AB$20:AB$78,0))</f>
        <v>0</v>
      </c>
      <c r="AC22" s="1601">
        <f>SUM(IF(КАФЕДРА!$D$20:$D$78=$D22,КАФЕДРА!AC$20:AC$78,0))</f>
        <v>0</v>
      </c>
      <c r="AD22" s="1600" t="str">
        <f t="shared" si="27"/>
        <v>нет</v>
      </c>
      <c r="AE22" s="1601">
        <f t="array" ref="AE22">SUM(IF(КАФЕДРА!$D$20:$D$78=$D22,КАФЕДРА!AE$20:AE$78,0))</f>
        <v>0</v>
      </c>
      <c r="AF22" s="1601">
        <f t="array" ref="AF22">SUM(IF(КАФЕДРА!$D$20:$D$78=$D22,КАФЕДРА!AF$20:AF$78,0))</f>
        <v>0</v>
      </c>
      <c r="AG22" s="1600" t="str">
        <f t="shared" si="28"/>
        <v>нет</v>
      </c>
      <c r="AH22" s="1601">
        <f>SUM(IF(КАФЕДРА!$D$20:$D$78=$D22,КАФЕДРА!AH$20:AH$78,0))</f>
        <v>0</v>
      </c>
      <c r="AI22" s="1601">
        <f>SUM(IF(КАФЕДРА!$D$20:$D$78=$D22,КАФЕДРА!AI$20:AI$78,0))</f>
        <v>0</v>
      </c>
      <c r="AJ22" s="1600" t="str">
        <f t="shared" si="2"/>
        <v>нет</v>
      </c>
      <c r="AK22" s="1613">
        <f t="array" ref="AK22">SUM(IF(КАФЕДРА!$D$20:$D$78=$D22,КАФЕДРА!AK$20:AK$78,0))/SUM(IF(КАФЕДРА!$D$20:$D$78=$D22,1,0))</f>
        <v>0</v>
      </c>
      <c r="AL22" s="1613">
        <f t="array" ref="AL22">SUM(IF(КАФЕДРА!$D$20:$D$78=$D22,КАФЕДРА!AL$20:AL$78,0))/SUM(IF(КАФЕДРА!$D$20:$D$78=$D22,1,0))</f>
        <v>0</v>
      </c>
      <c r="AM22" s="1613">
        <f t="array" ref="AM22">SUM(IF(КАФЕДРА!$D$20:$D$78=$D22,КАФЕДРА!AM$20:AM$78,0))/SUM(IF(КАФЕДРА!$D$20:$D$78=$D22,1,0))</f>
        <v>0</v>
      </c>
      <c r="AN22" s="1616">
        <f t="array" ref="AN22">SUM(IF(AK22:AM22&gt;100,100,AK22:AM22))/3</f>
        <v>0</v>
      </c>
      <c r="AO22" s="1614">
        <f t="array" ref="AO22">SUM(IF(КАФЕДРА!$D$20:$D$78=$D22,КАФЕДРА!AO$20:AO$78,0))</f>
        <v>0</v>
      </c>
      <c r="AP22" s="1614">
        <f t="array" ref="AP22">SUM(IF(КАФЕДРА!$D$20:$D$78=$D22,КАФЕДРА!AP$20:AP$78,0))</f>
        <v>0</v>
      </c>
      <c r="AQ22" s="342" t="str">
        <f t="shared" si="29"/>
        <v>нет</v>
      </c>
      <c r="AR22" s="1907">
        <f t="array" ref="AR22">SUM(IF(КАФЕДРА!$D$20:$D$78=$D22,КАФЕДРА!AR$20:AR$78,0))</f>
        <v>223600</v>
      </c>
      <c r="AS22" s="1907">
        <f t="array" ref="AS22">SUM(IF(КАФЕДРА!$D$20:$D$78=$D22,КАФЕДРА!AS$20:AS$78,0))</f>
        <v>213000</v>
      </c>
      <c r="AT22" s="1908" t="e">
        <f t="shared" si="30"/>
        <v>#DIV/0!</v>
      </c>
      <c r="AU22" s="1604">
        <f t="shared" si="31"/>
        <v>104.97652582159624</v>
      </c>
      <c r="AV22" s="1907">
        <f t="array" ref="AV22">SUM(IF(КАФЕДРА!$D$20:$D$75=$D22,КАФЕДРА!AV$20:AV$75,0))</f>
        <v>223600</v>
      </c>
      <c r="AW22" s="1907">
        <f t="array" ref="AW22">SUM(IF(КАФЕДРА!$D$20:$D$75=$D22,КАФЕДРА!AW$20:AW$75,0))</f>
        <v>0</v>
      </c>
      <c r="AX22" s="1907">
        <f t="array" ref="AX22">SUM(IF(КАФЕДРА!$D$20:$D$75=$D22,КАФЕДРА!AX$20:AX$75,0))</f>
        <v>529150</v>
      </c>
      <c r="AY22" s="1907">
        <f t="array" ref="AY22">SUM(IF(КАФЕДРА!$D$20:$D$75=$D22,КАФЕДРА!AY$20:AY$75,0))</f>
        <v>0</v>
      </c>
      <c r="AZ22" s="510" t="e">
        <f t="shared" si="32"/>
        <v>#DIV/0!</v>
      </c>
      <c r="BA22" s="1604">
        <f t="array" ref="BA22">IF(($E22="да"),IF($AX22=0,"нет",$AV22/$AX22*100-100),"нет")</f>
        <v>-57.74355097798356</v>
      </c>
      <c r="BB22" s="1604">
        <f t="array" ref="BB22">IF(($E22="да"),IF($AX22=0,"нет",$AV22/$AX22*100),"нет")</f>
        <v>42.25644902201644</v>
      </c>
      <c r="BC22" s="1604">
        <f t="shared" si="33"/>
        <v>104.97652582159624</v>
      </c>
      <c r="BD22" s="331" t="e">
        <f t="array" ref="BD22">IF(($E22="да"),IF(AR22&gt;0,MAX($AZ22/$AZ$16*BD$16,IF(($BA22&gt;0)*ISNUMBER($BA22),$BB22/$BB$16*BD$16,0)),нет),нет)</f>
        <v>#DIV/0!</v>
      </c>
      <c r="BE22" s="1602">
        <f t="array" ref="BE22">SUM(IF(КАФЕДРА!$D$20:$D$75=$D22,КАФЕДРА!BE$20:BE$75,0))</f>
        <v>0</v>
      </c>
      <c r="BF22" s="1602">
        <f t="array" ref="BF22">SUM(IF(КАФЕДРА!$D$20:$D$75=$D22,КАФЕДРА!BF$20:BF$75,0))</f>
        <v>0</v>
      </c>
      <c r="BG22" s="1603">
        <f t="shared" si="34"/>
        <v>0</v>
      </c>
      <c r="BH22" s="1604" t="str">
        <f t="shared" si="35"/>
        <v>нет</v>
      </c>
      <c r="BI22" s="331">
        <f t="array" ref="BI22">IF(($E22="да")+($F22="да"),IF((BF22+AS22)=0,"нет",(AR22+BE22)/(BF22+AS22)*100),"нет")</f>
        <v>104.97652582159624</v>
      </c>
      <c r="BJ22" s="1618">
        <f t="array" ref="BJ22">SUM(IF(КАФЕДРА!$D$20:$D$75=$D22,КАФЕДРА!BJ$20:BJ$75,0))</f>
        <v>0</v>
      </c>
      <c r="BK22" s="1620">
        <f t="array" ref="BK22">SUM(IF(КАФЕДРА!$D$20:$D$75=$D22,КАФЕДРА!BK$20:BK$75,0))</f>
        <v>0</v>
      </c>
      <c r="BL22" s="1620">
        <f t="array" ref="BL22">SUM(IF(КАФЕДРА!$D$20:$D$75=$D22,КАФЕДРА!BL$20:BL$75,0))</f>
        <v>0</v>
      </c>
      <c r="BM22" s="1628" t="str">
        <f t="shared" si="3"/>
        <v>нет</v>
      </c>
      <c r="BN22" s="1614">
        <f t="shared" si="14"/>
        <v>0</v>
      </c>
      <c r="BO22" s="1622">
        <f t="array" ref="BO22">SUM(IF(КАФЕДРА!$D$20:$D$75=$D22,КАФЕДРА!BO$20:BO$75,0))</f>
        <v>0</v>
      </c>
      <c r="BP22" s="1624" t="e">
        <f t="shared" si="36"/>
        <v>#DIV/0!</v>
      </c>
      <c r="BQ22" s="1629" t="e">
        <f t="shared" si="4"/>
        <v>#DIV/0!</v>
      </c>
      <c r="BR22" s="1622">
        <f t="array" ref="BR22">SUM(IF(КАФЕДРА!$D$20:$D$75=$D22,КАФЕДРА!BR$20:BR$75,0))</f>
        <v>0</v>
      </c>
      <c r="BS22" s="1622">
        <f t="array" ref="BS22">SUM(IF(КАФЕДРА!$D$20:$D$75=$D22,КАФЕДРА!BS$20:BS$75,0))</f>
        <v>0</v>
      </c>
      <c r="BT22" s="1626">
        <f t="shared" ref="BT22:BT27" si="38">IF(BS22=0,0,BR22/BS22*100)</f>
        <v>0</v>
      </c>
      <c r="BU22" s="1631">
        <f t="shared" si="15"/>
        <v>100</v>
      </c>
      <c r="BV22" s="1622">
        <f t="array" ref="BV22">SUM(IF(КАФЕДРА!$D$20:$D$75=$D22,КАФЕДРА!BV$20:BV$75,0))</f>
        <v>0</v>
      </c>
      <c r="BW22" s="1622">
        <f t="array" ref="BW22">SUM(IF(КАФЕДРА!$D$20:$D$75=$D22,КАФЕДРА!BW$20:BW$75,0))</f>
        <v>0</v>
      </c>
      <c r="BX22" s="1629" t="str">
        <f t="shared" si="16"/>
        <v>нет</v>
      </c>
      <c r="BY22" s="1622">
        <f t="array" ref="BY22">SUM(IF(КАФЕДРА!$D$20:$D$75=$D22,КАФЕДРА!BY$20:BY$75,0))</f>
        <v>0</v>
      </c>
      <c r="BZ22" s="1622">
        <f t="array" ref="BZ22">SUM(IF(КАФЕДРА!$D$20:$D$75=$D22,КАФЕДРА!BZ$20:BZ$75,0))</f>
        <v>0</v>
      </c>
      <c r="CA22" s="1629" t="str">
        <f t="shared" si="37"/>
        <v>нет</v>
      </c>
      <c r="CC22" s="162" t="str">
        <f>ИНСТИТУТ!CO22</f>
        <v>СТОМ</v>
      </c>
      <c r="CF22" s="93" t="e">
        <f t="array" ref="CF22">SUM(IF($F22:$CA22=нет,0,IF($F22:$CA22&gt;=$F$16:$CA$16,$F$16:$CA$16,IF($F22:$CA22&lt;$F$17:$CA$17,0,$F22:$CA22)))*$F$11:$CA$11*($F$108:$CA$108=CF$4)/$F$16:$CA$16*($F$110:$CA$119*($B$110:$B$119=$B22)*($A$110:$A$119=$A$108)))</f>
        <v>#DIV/0!</v>
      </c>
      <c r="CG22" s="93" t="e">
        <f t="array" ref="CG22">SUM(IF($F22:$CA22=нет,0,IF($F22:$CA22&gt;=$F$16:$CA$16,$F$16:$CA$16,IF($F22:$CA22&lt;$F$17:$CA$17,0,$F22:$CA22)))*$F$11:$CA$11*($F$108:$CA$108=CG$4)/$F$16:$CA$16*($F$110:$CA$119*($B$110:$B$119=$B22)*($A$110:$A$119=$A$108)))</f>
        <v>#DIV/0!</v>
      </c>
      <c r="CH22" s="93" t="e">
        <f t="array" ref="CH22">SUM(IF($F22:$CA22=нет,0,IF($F22:$CA22&gt;=$F$16:$CA$16,$F$16:$CA$16,IF($F22:$CA22&lt;$F$17:$CA$17,0,$F22:$CA22)))*$F$11:$CA$11*($F$109:$CA$109=CH$4)/$F$16:$CA$16*($F$110:$CA$119*($B$110:$B$119=$B22)*($A$110:$A$119=$A$108)))</f>
        <v>#DIV/0!</v>
      </c>
      <c r="CI22" s="93">
        <v>0</v>
      </c>
      <c r="CJ22" s="93" t="e">
        <f t="array" ref="CJ22">SUM(IF($F22:$CA22=нет,0,IF($F22:$CA22&gt;=$F$16:$CA$16,$F$16:$CA$16,IF($F22:$CA22&lt;$F$17:$CA$17,0,$F22:$CA22)))*$F$11:$CA$11*($F$108:$CA$108=CJ$4)/$F$16:$CA$16*($F$110:$CA$119*($B$110:$B$119=$B22)*($A$110:$A$119=$A$108)))</f>
        <v>#DIV/0!</v>
      </c>
      <c r="CK22" s="93" t="e">
        <f t="array" ref="CK22">SUM(IF($F22:$CA22=нет,0,IF($F22:$CA22&gt;=$F$16:$CA$16,$F$16:$CA$16,IF($F22:$CA22&lt;$F$17:$CA$17,0,$F22:$CA22)))*$F$11:$CA$11*($F$108:$CA$108=CK$4)/$F$16:$CA$16*($F$110:$CA$119*($B$110:$B$119=$B22)*($A$110:$A$119=$A$108)))</f>
        <v>#DIV/0!</v>
      </c>
      <c r="CL22" s="93" t="e">
        <f t="array" ref="CL22">SUM(IF($F22:$CA22=нет,0,IF($F22:$CA22&gt;=$F$16:$CA$16,$F$16:$CA$16,IF($F22:$CA22&lt;$F$17:$CA$17,0,$F22:$CA22)))*$F$11:$CA$11*($F$108:$CA$108=CL$4)/$F$16:$CA$16*($F$110:$CA$119*($B$110:$B$119=$B22)*($A$110:$A$119=$A$108)))</f>
        <v>#DIV/0!</v>
      </c>
      <c r="CN22" s="1106" t="e">
        <f t="array" ref="CN22">SUM(IF($F22:$CA22=нет,0,100)*$F$11:$CA$11*($F$108:$CA$108=CN$4)/100*($F$110:$CA$119*($B$110:$B$119=$B22)*($A$110:$A$119=$A$108)))</f>
        <v>#DIV/0!</v>
      </c>
      <c r="CO22" s="1106" t="e">
        <f t="array" ref="CO22">SUM(IF($F22:$CA22=нет,0,100)*$F$11:$CA$11*($F$108:$CA$108=CO$4)/100*($F$110:$CA$119*($B$110:$B$119=$B22)*($A$110:$A$119=$A$108)))</f>
        <v>#DIV/0!</v>
      </c>
      <c r="CP22" s="1106" t="e">
        <f t="array" ref="CP22">SUM(IF($F22:$CA22=нет,0,100)*$F$11:$CA$11*($F$109:$CA$109=CP$4)/100*($F$110:$CA$119*($B$110:$B$119=$B22)*($A$110:$A$119=$A$108)))</f>
        <v>#DIV/0!</v>
      </c>
      <c r="CQ22" s="1106">
        <f>IF(OR(ТИТУЛ!$B$22=2,ТИТУЛ!$B$22=4),23,0)</f>
        <v>23</v>
      </c>
      <c r="CR22" s="1106" t="e">
        <f t="array" ref="CR22">SUM(IF($F22:$CA22=нет,0,100)*$F$11:$CA$11*($F$108:$CA$108=CR$4)/100*($F$110:$CA$119*($B$110:$B$119=$B22)*($A$110:$A$119=$A$108)))</f>
        <v>#DIV/0!</v>
      </c>
      <c r="CS22" s="1106" t="e">
        <f t="array" ref="CS22">SUM(IF($F22:$CA22=нет,0,100)*$F$11:$CA$11*($F$108:$CA$108=CS$4)/100*($F$110:$CA$119*($B$110:$B$119=$B22)*($A$110:$A$119=$A$108)))</f>
        <v>#DIV/0!</v>
      </c>
      <c r="CT22" s="1106" t="e">
        <f t="array" ref="CT22">SUM(IF($F22:$CA22=нет,0,100)*$F$11:$CA$11*($F$108:$CA$108=CT$4)/100*($F$110:$CA$119*($B$110:$B$119=$B22)*($A$110:$A$119=$A$108)))</f>
        <v>#DIV/0!</v>
      </c>
      <c r="CV22" s="760" t="e">
        <f>SUM(CF22:CG22,CI22:CL22,'«ВУЗ-РЕГИОН»(кафедры)'!W22,' "Вуз зож" (кафедры)'!S22)</f>
        <v>#DIV/0!</v>
      </c>
      <c r="CW22" s="760" t="e">
        <f>SUM(CN22:CO22,CQ22:CT22,'«ВУЗ-РЕГИОН»(кафедры)'!X22,' "Вуз зож" (кафедры)'!T22)</f>
        <v>#DIV/0!</v>
      </c>
      <c r="CX22" s="759" t="e">
        <f t="shared" si="17"/>
        <v>#DIV/0!</v>
      </c>
      <c r="CZ22" s="760" t="e">
        <f>SUM(CH22:CJ22,CL22,'«ВУЗ-РЕГИОН»(кафедры)'!W22,' "Вуз зож" (кафедры)'!S22)</f>
        <v>#DIV/0!</v>
      </c>
      <c r="DA22" s="760" t="e">
        <f>SUM(CP22:CR22,CT22,'«ВУЗ-РЕГИОН»(кафедры)'!X22,' "Вуз зож" (кафедры)'!T22)</f>
        <v>#DIV/0!</v>
      </c>
      <c r="DB22" s="759" t="e">
        <f t="shared" si="18"/>
        <v>#DIV/0!</v>
      </c>
      <c r="DD22" s="168" t="e">
        <f t="shared" si="5"/>
        <v>#DIV/0!</v>
      </c>
      <c r="DE22" s="168" t="e">
        <f t="shared" si="6"/>
        <v>#DIV/0!</v>
      </c>
      <c r="DF22" s="168" t="e">
        <f t="shared" si="7"/>
        <v>#DIV/0!</v>
      </c>
      <c r="DG22" s="168" t="str">
        <f t="shared" si="8"/>
        <v>0,0%
=0,0/23,0</v>
      </c>
      <c r="DH22" s="168" t="e">
        <f t="shared" si="9"/>
        <v>#DIV/0!</v>
      </c>
      <c r="DI22" s="168" t="e">
        <f t="shared" si="10"/>
        <v>#DIV/0!</v>
      </c>
      <c r="DJ22" s="168" t="e">
        <f t="shared" si="11"/>
        <v>#DIV/0!</v>
      </c>
      <c r="DK22" s="92" t="str">
        <f t="shared" si="12"/>
        <v>Институт стоматологии</v>
      </c>
      <c r="DL22" s="31" t="str">
        <f t="shared" si="19"/>
        <v>СТОМ</v>
      </c>
      <c r="DM22" s="168" t="e">
        <f t="shared" si="20"/>
        <v>#DIV/0!</v>
      </c>
      <c r="DO22" s="92" t="e">
        <f>((CF22/CN22)*80+(ИНСТИТУТ!CS22/ИНСТИТУТ!DB22)*20)/100</f>
        <v>#DIV/0!</v>
      </c>
      <c r="DP22" s="92" t="e">
        <f>((CG22/CO22)*80+(ИНСТИТУТ!CT22/ИНСТИТУТ!DC22)*20)/100</f>
        <v>#DIV/0!</v>
      </c>
      <c r="DQ22" s="92" t="e">
        <f>((CH22/CP22)*80+(ИНСТИТУТ!CU22/ИНСТИТУТ!DD22)*20)/100</f>
        <v>#DIV/0!</v>
      </c>
      <c r="DR22" s="92" t="e">
        <f>((CI22/CQ22)*80+(ИНСТИТУТ!CV22/ИНСТИТУТ!DE22)*20)/100</f>
        <v>#DIV/0!</v>
      </c>
      <c r="DS22" s="92" t="e">
        <f>((CJ22/CR22)*80+(ИНСТИТУТ!CW22/ИНСТИТУТ!DF22)*20)/100</f>
        <v>#DIV/0!</v>
      </c>
      <c r="DT22" s="92" t="e">
        <f>((CK22/CS22)*80+(ИНСТИТУТ!CY22/ИНСТИТУТ!DH22)*20)/100</f>
        <v>#DIV/0!</v>
      </c>
      <c r="DU22" s="92" t="e">
        <f>((CL22/CT22)*80+(ИНСТИТУТ!CZ22/ИНСТИТУТ!DI22)*20)/100</f>
        <v>#DIV/0!</v>
      </c>
      <c r="DZ22" s="92" t="e">
        <f>(CX22*80+ИНСТИТУТ!DM22*20)/100</f>
        <v>#DIV/0!</v>
      </c>
    </row>
    <row r="23" spans="1:130" s="106" customFormat="1" ht="18.75" thickBot="1" x14ac:dyDescent="0.3">
      <c r="A23" s="139" t="str">
        <f>ИНСТИТУТ!A23</f>
        <v>Институт общественного здоровья и профилактической медицины</v>
      </c>
      <c r="B23" s="97" t="s">
        <v>35</v>
      </c>
      <c r="C23" s="139">
        <f t="array" ref="C23">SUM(IF(КАФЕДРА!$D$20:$D$75=$D23,КАФЕДРА!$C$20:$C$75,0))</f>
        <v>0</v>
      </c>
      <c r="D23" s="139" t="str">
        <f t="shared" si="13"/>
        <v>ОЗДОРОВЬЯ</v>
      </c>
      <c r="E23" s="157" t="s">
        <v>16</v>
      </c>
      <c r="F23" s="157" t="s">
        <v>16</v>
      </c>
      <c r="G23" s="1601">
        <f t="array" ref="G23">SUM(IF(КАФЕДРА!$D$20:$D$78=$D23,КАФЕДРА!G$20:G$78,0))</f>
        <v>0</v>
      </c>
      <c r="H23" s="1600">
        <f t="shared" si="0"/>
        <v>100</v>
      </c>
      <c r="I23" s="1601">
        <f t="array" ref="I23">SUM(IF(КАФЕДРА!$D$20:$D$78=$D23,КАФЕДРА!I$20:I$78,0))</f>
        <v>0</v>
      </c>
      <c r="J23" s="1600">
        <f t="shared" si="1"/>
        <v>100</v>
      </c>
      <c r="K23" s="1609">
        <f t="array" ref="K23">SUM(IF(КАФЕДРА!$D$20:$D$78=$D23,КАФЕДРА!K$20:K$78,0))</f>
        <v>0</v>
      </c>
      <c r="L23" s="1609">
        <f t="array" ref="L23">SUM(IF(КАФЕДРА!$D$20:$D$78=$D23,КАФЕДРА!L$20:L$78,0))</f>
        <v>0</v>
      </c>
      <c r="M23" s="1610" t="str">
        <f t="shared" si="21"/>
        <v>нет</v>
      </c>
      <c r="N23" s="1609">
        <f t="array" ref="N23">SUM(IF(КАФЕДРА!$D$20:$D$78=$D23,КАФЕДРА!N$20:N$78,0))</f>
        <v>0</v>
      </c>
      <c r="O23" s="1609">
        <f t="array" ref="O23">SUM(IF(КАФЕДРА!$D$20:$D$78=$D23,КАФЕДРА!O$20:O$78,0))</f>
        <v>0</v>
      </c>
      <c r="P23" s="1611" t="str">
        <f t="shared" si="22"/>
        <v>нет</v>
      </c>
      <c r="Q23" s="1601">
        <f t="array" ref="Q23">SUM(IF(КАФЕДРА!$D$20:$D$78=$D23,КАФЕДРА!Q$20:Q$78,0))</f>
        <v>0</v>
      </c>
      <c r="R23" s="1600">
        <f t="shared" si="23"/>
        <v>100</v>
      </c>
      <c r="S23" s="1601">
        <f t="array" ref="S23">SUM(IF(КАФЕДРА!$D$20:$D$78=$D23,КАФЕДРА!S$20:S$78,0))</f>
        <v>0</v>
      </c>
      <c r="T23" s="1601">
        <f t="array" ref="T23">SUM(IF(КАФЕДРА!$D$20:$D$78=$D23,КАФЕДРА!T$20:T$78,0))</f>
        <v>0</v>
      </c>
      <c r="U23" s="1600" t="str">
        <f t="shared" si="24"/>
        <v>нет</v>
      </c>
      <c r="V23" s="1601">
        <f>SUM(IF(КАФЕДРА!$D$20:$D$78=$D23,КАФЕДРА!V$20:V$78,0))</f>
        <v>0</v>
      </c>
      <c r="W23" s="1601">
        <f>SUM(IF(КАФЕДРА!$D$20:$D$78=$D23,КАФЕДРА!W$20:W$78,0))</f>
        <v>0</v>
      </c>
      <c r="X23" s="1600" t="str">
        <f t="shared" si="25"/>
        <v>нет</v>
      </c>
      <c r="Y23" s="1601">
        <f t="array" ref="Y23">SUM(IF(КАФЕДРА!$D$20:$D$78=$D23,КАФЕДРА!Y$20:Y$78,0))</f>
        <v>0</v>
      </c>
      <c r="Z23" s="1601">
        <f t="array" ref="Z23">SUM(IF(КАФЕДРА!$D$20:$D$78=$D23,КАФЕДРА!Z$20:Z$78,0))</f>
        <v>0</v>
      </c>
      <c r="AA23" s="1600" t="str">
        <f t="shared" si="26"/>
        <v>нет</v>
      </c>
      <c r="AB23" s="1601">
        <f>SUM(IF(КАФЕДРА!$D$20:$D$78=$D23,КАФЕДРА!AB$20:AB$78,0))</f>
        <v>0</v>
      </c>
      <c r="AC23" s="1601">
        <f>SUM(IF(КАФЕДРА!$D$20:$D$78=$D23,КАФЕДРА!AC$20:AC$78,0))</f>
        <v>0</v>
      </c>
      <c r="AD23" s="1600" t="str">
        <f t="shared" si="27"/>
        <v>нет</v>
      </c>
      <c r="AE23" s="1601">
        <f t="array" ref="AE23">SUM(IF(КАФЕДРА!$D$20:$D$78=$D23,КАФЕДРА!AE$20:AE$78,0))</f>
        <v>0</v>
      </c>
      <c r="AF23" s="1601">
        <f t="array" ref="AF23">SUM(IF(КАФЕДРА!$D$20:$D$78=$D23,КАФЕДРА!AF$20:AF$78,0))</f>
        <v>0</v>
      </c>
      <c r="AG23" s="1600" t="str">
        <f t="shared" si="28"/>
        <v>нет</v>
      </c>
      <c r="AH23" s="1601">
        <f>SUM(IF(КАФЕДРА!$D$20:$D$78=$D23,КАФЕДРА!AH$20:AH$78,0))</f>
        <v>0</v>
      </c>
      <c r="AI23" s="1601">
        <f>SUM(IF(КАФЕДРА!$D$20:$D$78=$D23,КАФЕДРА!AI$20:AI$78,0))</f>
        <v>0</v>
      </c>
      <c r="AJ23" s="1600" t="str">
        <f t="shared" si="2"/>
        <v>нет</v>
      </c>
      <c r="AK23" s="1613">
        <f t="array" ref="AK23">SUM(IF(КАФЕДРА!$D$20:$D$78=$D23,КАФЕДРА!AK$20:AK$78,0))/SUM(IF(КАФЕДРА!$D$20:$D$78=$D23,1,0))</f>
        <v>0</v>
      </c>
      <c r="AL23" s="1613">
        <f t="array" ref="AL23">SUM(IF(КАФЕДРА!$D$20:$D$78=$D23,КАФЕДРА!AL$20:AL$78,0))/SUM(IF(КАФЕДРА!$D$20:$D$78=$D23,1,0))</f>
        <v>0</v>
      </c>
      <c r="AM23" s="1613">
        <f t="array" ref="AM23">SUM(IF(КАФЕДРА!$D$20:$D$78=$D23,КАФЕДРА!AM$20:AM$78,0))/SUM(IF(КАФЕДРА!$D$20:$D$78=$D23,1,0))</f>
        <v>0</v>
      </c>
      <c r="AN23" s="1616">
        <f t="array" ref="AN23">SUM(IF(AK23:AM23&gt;100,100,AK23:AM23))/3</f>
        <v>0</v>
      </c>
      <c r="AO23" s="1614">
        <f t="array" ref="AO23">SUM(IF(КАФЕДРА!$D$20:$D$78=$D23,КАФЕДРА!AO$20:AO$78,0))</f>
        <v>0</v>
      </c>
      <c r="AP23" s="1614">
        <f t="array" ref="AP23">SUM(IF(КАФЕДРА!$D$20:$D$78=$D23,КАФЕДРА!AP$20:AP$78,0))</f>
        <v>0</v>
      </c>
      <c r="AQ23" s="342" t="str">
        <f t="shared" si="29"/>
        <v>нет</v>
      </c>
      <c r="AR23" s="1907">
        <f t="array" ref="AR23">SUM(IF(КАФЕДРА!$D$20:$D$78=$D23,КАФЕДРА!AR$20:AR$78,0))</f>
        <v>793152</v>
      </c>
      <c r="AS23" s="1907">
        <f t="array" ref="AS23">SUM(IF(КАФЕДРА!$D$20:$D$78=$D23,КАФЕДРА!AS$20:AS$78,0))</f>
        <v>1128000</v>
      </c>
      <c r="AT23" s="1908" t="e">
        <f t="shared" si="30"/>
        <v>#DIV/0!</v>
      </c>
      <c r="AU23" s="1604">
        <f t="shared" si="31"/>
        <v>70.314893617021283</v>
      </c>
      <c r="AV23" s="1907">
        <f t="array" ref="AV23">SUM(IF(КАФЕДРА!$D$20:$D$75=$D23,КАФЕДРА!AV$20:AV$75,0))</f>
        <v>793152</v>
      </c>
      <c r="AW23" s="1907">
        <f t="array" ref="AW23">SUM(IF(КАФЕДРА!$D$20:$D$75=$D23,КАФЕДРА!AW$20:AW$75,0))</f>
        <v>596266</v>
      </c>
      <c r="AX23" s="1907">
        <f t="array" ref="AX23">SUM(IF(КАФЕДРА!$D$20:$D$75=$D23,КАФЕДРА!AX$20:AX$75,0))</f>
        <v>1952371.35</v>
      </c>
      <c r="AY23" s="1907">
        <f t="array" ref="AY23">SUM(IF(КАФЕДРА!$D$20:$D$75=$D23,КАФЕДРА!AY$20:AY$75,0))</f>
        <v>800443.15999999992</v>
      </c>
      <c r="AZ23" s="510" t="e">
        <f t="shared" si="32"/>
        <v>#DIV/0!</v>
      </c>
      <c r="BA23" s="1604">
        <f t="array" ref="BA23">IF(($E23="да"),IF($AX23=0,"нет",$AV23/$AX23*100-100),"нет")</f>
        <v>-59.374941657487447</v>
      </c>
      <c r="BB23" s="1604">
        <f t="array" ref="BB23">IF(($E23="да"),IF($AX23=0,"нет",$AV23/$AX23*100),"нет")</f>
        <v>40.625058342512553</v>
      </c>
      <c r="BC23" s="1604">
        <f t="shared" si="33"/>
        <v>70.314893617021283</v>
      </c>
      <c r="BD23" s="331" t="e">
        <f t="array" ref="BD23">IF(($E23="да"),IF(AR23&gt;0,MAX($AZ23/$AZ$16*BD$16,IF(($BA23&gt;0)*ISNUMBER($BA23),$BB23/$BB$16*BD$16,0)),нет),нет)</f>
        <v>#DIV/0!</v>
      </c>
      <c r="BE23" s="1602">
        <f t="array" ref="BE23">SUM(IF(КАФЕДРА!$D$20:$D$75=$D23,КАФЕДРА!BE$20:BE$75,0))</f>
        <v>596266</v>
      </c>
      <c r="BF23" s="1602">
        <f t="array" ref="BF23">SUM(IF(КАФЕДРА!$D$20:$D$75=$D23,КАФЕДРА!BF$20:BF$75,0))</f>
        <v>596266</v>
      </c>
      <c r="BG23" s="1603" t="e">
        <f t="array" ref="BG23">IF(($E23="да"),IF(BE23=0,0,BE23/$C23),"нет")</f>
        <v>#DIV/0!</v>
      </c>
      <c r="BH23" s="1604">
        <f t="shared" si="35"/>
        <v>100</v>
      </c>
      <c r="BI23" s="331">
        <f t="array" ref="BI23">IF(($E23="да")+($F23="да"),IF((BF23+AS23)=0,"нет",(AR23+BE23)/(BF23+AS23)*100),"нет")</f>
        <v>80.580258498398734</v>
      </c>
      <c r="BJ23" s="1618">
        <f t="array" ref="BJ23">SUM(IF(КАФЕДРА!$D$20:$D$75=$D23,КАФЕДРА!BJ$20:BJ$75,0))</f>
        <v>0</v>
      </c>
      <c r="BK23" s="1620">
        <f t="array" ref="BK23">SUM(IF(КАФЕДРА!$D$20:$D$75=$D23,КАФЕДРА!BK$20:BK$75,0))</f>
        <v>0</v>
      </c>
      <c r="BL23" s="1620">
        <f t="array" ref="BL23">SUM(IF(КАФЕДРА!$D$20:$D$75=$D23,КАФЕДРА!BL$20:BL$75,0))</f>
        <v>0</v>
      </c>
      <c r="BM23" s="1628" t="str">
        <f t="shared" si="3"/>
        <v>нет</v>
      </c>
      <c r="BN23" s="1614">
        <f t="shared" si="14"/>
        <v>0</v>
      </c>
      <c r="BO23" s="1622">
        <f t="array" ref="BO23">SUM(IF(КАФЕДРА!$D$20:$D$75=$D23,КАФЕДРА!BO$20:BO$75,0))</f>
        <v>0</v>
      </c>
      <c r="BP23" s="1624" t="e">
        <f t="shared" si="36"/>
        <v>#DIV/0!</v>
      </c>
      <c r="BQ23" s="1629" t="e">
        <f t="shared" si="4"/>
        <v>#DIV/0!</v>
      </c>
      <c r="BR23" s="1622">
        <f t="array" ref="BR23">SUM(IF(КАФЕДРА!$D$20:$D$75=$D23,КАФЕДРА!BR$20:BR$75,0))</f>
        <v>0</v>
      </c>
      <c r="BS23" s="1622">
        <f t="array" ref="BS23">SUM(IF(КАФЕДРА!$D$20:$D$75=$D23,КАФЕДРА!BS$20:BS$75,0))</f>
        <v>0</v>
      </c>
      <c r="BT23" s="1626">
        <f t="shared" si="38"/>
        <v>0</v>
      </c>
      <c r="BU23" s="1631">
        <f t="shared" si="15"/>
        <v>100</v>
      </c>
      <c r="BV23" s="1622">
        <f t="array" ref="BV23">SUM(IF(КАФЕДРА!$D$20:$D$75=$D23,КАФЕДРА!BV$20:BV$75,0))</f>
        <v>0</v>
      </c>
      <c r="BW23" s="1622">
        <f t="array" ref="BW23">SUM(IF(КАФЕДРА!$D$20:$D$75=$D23,КАФЕДРА!BW$20:BW$75,0))</f>
        <v>0</v>
      </c>
      <c r="BX23" s="1629" t="str">
        <f t="shared" si="16"/>
        <v>нет</v>
      </c>
      <c r="BY23" s="1622">
        <f t="array" ref="BY23">SUM(IF(КАФЕДРА!$D$20:$D$75=$D23,КАФЕДРА!BY$20:BY$75,0))</f>
        <v>0</v>
      </c>
      <c r="BZ23" s="1622">
        <f t="array" ref="BZ23">SUM(IF(КАФЕДРА!$D$20:$D$75=$D23,КАФЕДРА!BZ$20:BZ$75,0))</f>
        <v>0</v>
      </c>
      <c r="CA23" s="1629" t="str">
        <f t="shared" si="37"/>
        <v>нет</v>
      </c>
      <c r="CC23" s="162" t="str">
        <f>ИНСТИТУТ!CO23</f>
        <v>ОЗДОРОВЬЯ</v>
      </c>
      <c r="CD23" s="33"/>
      <c r="CE23" s="31"/>
      <c r="CF23" s="93" t="e">
        <f t="array" ref="CF23">SUM(IF($F23:$CA23=нет,0,IF($F23:$CA23&gt;=$F$16:$CA$16,$F$16:$CA$16,IF($F23:$CA23&lt;$F$17:$CA$17,0,$F23:$CA23)))*$F$11:$CA$11*($F$108:$CA$108=CF$4)/$F$16:$CA$16*($F$110:$CA$119*($B$110:$B$119=$B23)*($A$110:$A$119=$A$108)))</f>
        <v>#DIV/0!</v>
      </c>
      <c r="CG23" s="93" t="e">
        <f t="array" ref="CG23">SUM(IF($F23:$CA23=нет,0,IF($F23:$CA23&gt;=$F$16:$CA$16,$F$16:$CA$16,IF($F23:$CA23&lt;$F$17:$CA$17,0,$F23:$CA23)))*$F$11:$CA$11*($F$108:$CA$108=CG$4)/$F$16:$CA$16*($F$110:$CA$119*($B$110:$B$119=$B23)*($A$110:$A$119=$A$108)))</f>
        <v>#DIV/0!</v>
      </c>
      <c r="CH23" s="93" t="e">
        <f t="array" ref="CH23">SUM(IF($F23:$CA23=нет,0,IF($F23:$CA23&gt;=$F$16:$CA$16,$F$16:$CA$16,IF($F23:$CA23&lt;$F$17:$CA$17,0,$F23:$CA23)))*$F$11:$CA$11*($F$109:$CA$109=CH$4)/$F$16:$CA$16*($F$110:$CA$119*($B$110:$B$119=$B23)*($A$110:$A$119=$A$108)))</f>
        <v>#DIV/0!</v>
      </c>
      <c r="CI23" s="93">
        <v>0</v>
      </c>
      <c r="CJ23" s="93" t="e">
        <f t="array" ref="CJ23">SUM(IF($F23:$CA23=нет,0,IF($F23:$CA23&gt;=$F$16:$CA$16,$F$16:$CA$16,IF($F23:$CA23&lt;$F$17:$CA$17,0,$F23:$CA23)))*$F$11:$CA$11*($F$108:$CA$108=CJ$4)/$F$16:$CA$16*($F$110:$CA$119*($B$110:$B$119=$B23)*($A$110:$A$119=$A$108)))</f>
        <v>#DIV/0!</v>
      </c>
      <c r="CK23" s="93" t="e">
        <f t="array" ref="CK23">SUM(IF($F23:$CA23=нет,0,IF($F23:$CA23&gt;=$F$16:$CA$16,$F$16:$CA$16,IF($F23:$CA23&lt;$F$17:$CA$17,0,$F23:$CA23)))*$F$11:$CA$11*($F$108:$CA$108=CK$4)/$F$16:$CA$16*($F$110:$CA$119*($B$110:$B$119=$B23)*($A$110:$A$119=$A$108)))</f>
        <v>#DIV/0!</v>
      </c>
      <c r="CL23" s="93" t="e">
        <f t="array" ref="CL23">SUM(IF($F23:$CA23=нет,0,IF($F23:$CA23&gt;=$F$16:$CA$16,$F$16:$CA$16,IF($F23:$CA23&lt;$F$17:$CA$17,0,$F23:$CA23)))*$F$11:$CA$11*($F$108:$CA$108=CL$4)/$F$16:$CA$16*($F$110:$CA$119*($B$110:$B$119=$B23)*($A$110:$A$119=$A$108)))</f>
        <v>#DIV/0!</v>
      </c>
      <c r="CM23" s="31"/>
      <c r="CN23" s="1106" t="e">
        <f t="array" ref="CN23">SUM(IF($F23:$CA23=нет,0,100)*$F$11:$CA$11*($F$108:$CA$108=CN$4)/100*($F$110:$CA$119*($B$110:$B$119=$B23)*($A$110:$A$119=$A$108)))</f>
        <v>#DIV/0!</v>
      </c>
      <c r="CO23" s="1106" t="e">
        <f t="array" ref="CO23">SUM(IF($F23:$CA23=нет,0,100)*$F$11:$CA$11*($F$108:$CA$108=CO$4)/100*($F$110:$CA$119*($B$110:$B$119=$B23)*($A$110:$A$119=$A$108)))</f>
        <v>#DIV/0!</v>
      </c>
      <c r="CP23" s="1106" t="e">
        <f t="array" ref="CP23">SUM(IF($F23:$CA23=нет,0,100)*$F$11:$CA$11*($F$109:$CA$109=CP$4)/100*($F$110:$CA$119*($B$110:$B$119=$B23)*($A$110:$A$119=$A$108)))</f>
        <v>#DIV/0!</v>
      </c>
      <c r="CQ23" s="1106">
        <f>IF(OR(ТИТУЛ!$B$22=2,ТИТУЛ!$B$22=4),23,0)</f>
        <v>23</v>
      </c>
      <c r="CR23" s="1106" t="e">
        <f t="array" ref="CR23">SUM(IF($F23:$CA23=нет,0,100)*$F$11:$CA$11*($F$108:$CA$108=CR$4)/100*($F$110:$CA$119*($B$110:$B$119=$B23)*($A$110:$A$119=$A$108)))</f>
        <v>#DIV/0!</v>
      </c>
      <c r="CS23" s="1106" t="e">
        <f t="array" ref="CS23">SUM(IF($F23:$CA23=нет,0,100)*$F$11:$CA$11*($F$108:$CA$108=CS$4)/100*($F$110:$CA$119*($B$110:$B$119=$B23)*($A$110:$A$119=$A$108)))</f>
        <v>#DIV/0!</v>
      </c>
      <c r="CT23" s="1106" t="e">
        <f t="array" ref="CT23">SUM(IF($F23:$CA23=нет,0,100)*$F$11:$CA$11*($F$108:$CA$108=CT$4)/100*($F$110:$CA$119*($B$110:$B$119=$B23)*($A$110:$A$119=$A$108)))</f>
        <v>#DIV/0!</v>
      </c>
      <c r="CU23" s="31"/>
      <c r="CV23" s="760" t="e">
        <f>SUM(CF23:CG23,CI23:CL23,'«ВУЗ-РЕГИОН»(кафедры)'!W23,' "Вуз зож" (кафедры)'!S23)</f>
        <v>#DIV/0!</v>
      </c>
      <c r="CW23" s="760" t="e">
        <f>SUM(CN23:CO23,CQ23:CT23,'«ВУЗ-РЕГИОН»(кафедры)'!X23,' "Вуз зож" (кафедры)'!T23)</f>
        <v>#DIV/0!</v>
      </c>
      <c r="CX23" s="759" t="e">
        <f t="shared" si="17"/>
        <v>#DIV/0!</v>
      </c>
      <c r="CY23" s="31"/>
      <c r="CZ23" s="760" t="e">
        <f>SUM(CH23:CJ23,CL23,'«ВУЗ-РЕГИОН»(кафедры)'!W23,' "Вуз зож" (кафедры)'!S23)</f>
        <v>#DIV/0!</v>
      </c>
      <c r="DA23" s="760" t="e">
        <f>SUM(CP23:CR23,CT23,'«ВУЗ-РЕГИОН»(кафедры)'!X23,' "Вуз зож" (кафедры)'!T23)</f>
        <v>#DIV/0!</v>
      </c>
      <c r="DB23" s="759" t="e">
        <f t="shared" si="18"/>
        <v>#DIV/0!</v>
      </c>
      <c r="DC23" s="33"/>
      <c r="DD23" s="168" t="e">
        <f t="shared" si="5"/>
        <v>#DIV/0!</v>
      </c>
      <c r="DE23" s="168" t="e">
        <f t="shared" si="6"/>
        <v>#DIV/0!</v>
      </c>
      <c r="DF23" s="168" t="e">
        <f t="shared" si="7"/>
        <v>#DIV/0!</v>
      </c>
      <c r="DG23" s="168" t="str">
        <f t="shared" si="8"/>
        <v>0,0%
=0,0/23,0</v>
      </c>
      <c r="DH23" s="168" t="e">
        <f t="shared" si="9"/>
        <v>#DIV/0!</v>
      </c>
      <c r="DI23" s="168" t="e">
        <f t="shared" si="10"/>
        <v>#DIV/0!</v>
      </c>
      <c r="DJ23" s="168" t="e">
        <f t="shared" si="11"/>
        <v>#DIV/0!</v>
      </c>
      <c r="DK23" s="92" t="str">
        <f t="shared" si="12"/>
        <v>Институт общественного здоровья и профилактической медицины</v>
      </c>
      <c r="DL23" s="31" t="str">
        <f t="shared" si="19"/>
        <v>ОЗДОРОВЬЯ</v>
      </c>
      <c r="DM23" s="168" t="e">
        <f t="shared" si="20"/>
        <v>#DIV/0!</v>
      </c>
      <c r="DO23" s="92" t="e">
        <f>((CF23/CN23)*80+(ИНСТИТУТ!CS23/ИНСТИТУТ!DB23)*20)/100</f>
        <v>#DIV/0!</v>
      </c>
      <c r="DP23" s="92" t="e">
        <f>((CG23/CO23)*80+(ИНСТИТУТ!CT23/ИНСТИТУТ!DC23)*20)/100</f>
        <v>#DIV/0!</v>
      </c>
      <c r="DQ23" s="92" t="e">
        <f>((CH23/CP23)*80+(ИНСТИТУТ!CU23/ИНСТИТУТ!DD23)*20)/100</f>
        <v>#DIV/0!</v>
      </c>
      <c r="DR23" s="92" t="e">
        <f>((CI23/CQ23)*80+(ИНСТИТУТ!CV23/ИНСТИТУТ!DE23)*20)/100</f>
        <v>#DIV/0!</v>
      </c>
      <c r="DS23" s="92" t="e">
        <f>((CJ23/CR23)*80+(ИНСТИТУТ!CW23/ИНСТИТУТ!DF23)*20)/100</f>
        <v>#DIV/0!</v>
      </c>
      <c r="DT23" s="92" t="e">
        <f>((CK23/CS23)*80+(ИНСТИТУТ!CY23/ИНСТИТУТ!DH23)*20)/100</f>
        <v>#DIV/0!</v>
      </c>
      <c r="DU23" s="92" t="e">
        <f>((CL23/CT23)*80+(ИНСТИТУТ!CZ23/ИНСТИТУТ!DI23)*20)/100</f>
        <v>#DIV/0!</v>
      </c>
      <c r="DZ23" s="92" t="e">
        <f>(CX23*80+ИНСТИТУТ!DM23*20)/100</f>
        <v>#DIV/0!</v>
      </c>
    </row>
    <row r="24" spans="1:130" ht="18" x14ac:dyDescent="0.25">
      <c r="A24" s="139" t="str">
        <f>ИНСТИТУТ!A24</f>
        <v>Институт фармации</v>
      </c>
      <c r="B24" s="97" t="s">
        <v>35</v>
      </c>
      <c r="C24" s="139">
        <f t="array" ref="C24">SUM(IF(КАФЕДРА!$D$20:$D$75=$D24,КАФЕДРА!$C$20:$C$75,0))</f>
        <v>0</v>
      </c>
      <c r="D24" s="139" t="str">
        <f t="shared" si="13"/>
        <v>ФАРМ</v>
      </c>
      <c r="E24" s="157" t="s">
        <v>16</v>
      </c>
      <c r="F24" s="157" t="s">
        <v>16</v>
      </c>
      <c r="G24" s="1601">
        <f t="array" ref="G24">SUM(IF(КАФЕДРА!$D$20:$D$78=$D24,КАФЕДРА!G$20:G$78,0))</f>
        <v>0</v>
      </c>
      <c r="H24" s="1600">
        <f t="shared" si="0"/>
        <v>100</v>
      </c>
      <c r="I24" s="1601">
        <f t="array" ref="I24">SUM(IF(КАФЕДРА!$D$20:$D$78=$D24,КАФЕДРА!I$20:I$78,0))</f>
        <v>0</v>
      </c>
      <c r="J24" s="1600">
        <f t="shared" si="1"/>
        <v>100</v>
      </c>
      <c r="K24" s="1609">
        <f t="array" ref="K24">SUM(IF(КАФЕДРА!$D$20:$D$78=$D24,КАФЕДРА!K$20:K$78,0))</f>
        <v>0</v>
      </c>
      <c r="L24" s="1609">
        <f t="array" ref="L24">SUM(IF(КАФЕДРА!$D$20:$D$78=$D24,КАФЕДРА!L$20:L$78,0))</f>
        <v>0</v>
      </c>
      <c r="M24" s="1610" t="str">
        <f t="shared" si="21"/>
        <v>нет</v>
      </c>
      <c r="N24" s="1609">
        <f t="array" ref="N24">SUM(IF(КАФЕДРА!$D$20:$D$78=$D24,КАФЕДРА!N$20:N$78,0))</f>
        <v>0</v>
      </c>
      <c r="O24" s="1609">
        <f t="array" ref="O24">SUM(IF(КАФЕДРА!$D$20:$D$78=$D24,КАФЕДРА!O$20:O$78,0))</f>
        <v>0</v>
      </c>
      <c r="P24" s="1611" t="str">
        <f t="shared" si="22"/>
        <v>нет</v>
      </c>
      <c r="Q24" s="1601">
        <f t="array" ref="Q24">SUM(IF(КАФЕДРА!$D$20:$D$78=$D24,КАФЕДРА!Q$20:Q$78,0))</f>
        <v>0</v>
      </c>
      <c r="R24" s="1600">
        <f t="shared" si="23"/>
        <v>100</v>
      </c>
      <c r="S24" s="1601">
        <f t="array" ref="S24">SUM(IF(КАФЕДРА!$D$20:$D$78=$D24,КАФЕДРА!S$20:S$78,0))</f>
        <v>0</v>
      </c>
      <c r="T24" s="1601">
        <f t="array" ref="T24">SUM(IF(КАФЕДРА!$D$20:$D$78=$D24,КАФЕДРА!T$20:T$78,0))</f>
        <v>0</v>
      </c>
      <c r="U24" s="1600" t="str">
        <f t="shared" si="24"/>
        <v>нет</v>
      </c>
      <c r="V24" s="1601">
        <f>SUM(IF(КАФЕДРА!$D$20:$D$78=$D24,КАФЕДРА!V$20:V$78,0))</f>
        <v>0</v>
      </c>
      <c r="W24" s="1601">
        <f>SUM(IF(КАФЕДРА!$D$20:$D$78=$D24,КАФЕДРА!W$20:W$78,0))</f>
        <v>0</v>
      </c>
      <c r="X24" s="1600" t="str">
        <f t="shared" si="25"/>
        <v>нет</v>
      </c>
      <c r="Y24" s="1601">
        <f t="array" ref="Y24">SUM(IF(КАФЕДРА!$D$20:$D$78=$D24,КАФЕДРА!Y$20:Y$78,0))</f>
        <v>0</v>
      </c>
      <c r="Z24" s="1601">
        <f t="array" ref="Z24">SUM(IF(КАФЕДРА!$D$20:$D$78=$D24,КАФЕДРА!Z$20:Z$78,0))</f>
        <v>0</v>
      </c>
      <c r="AA24" s="1600" t="str">
        <f t="shared" si="26"/>
        <v>нет</v>
      </c>
      <c r="AB24" s="1601">
        <f>SUM(IF(КАФЕДРА!$D$20:$D$78=$D24,КАФЕДРА!AB$20:AB$78,0))</f>
        <v>0</v>
      </c>
      <c r="AC24" s="1601">
        <f>SUM(IF(КАФЕДРА!$D$20:$D$78=$D24,КАФЕДРА!AC$20:AC$78,0))</f>
        <v>0</v>
      </c>
      <c r="AD24" s="1600" t="str">
        <f t="shared" si="27"/>
        <v>нет</v>
      </c>
      <c r="AE24" s="1601">
        <f t="array" ref="AE24">SUM(IF(КАФЕДРА!$D$20:$D$78=$D24,КАФЕДРА!AE$20:AE$78,0))</f>
        <v>0</v>
      </c>
      <c r="AF24" s="1601">
        <f t="array" ref="AF24">SUM(IF(КАФЕДРА!$D$20:$D$78=$D24,КАФЕДРА!AF$20:AF$78,0))</f>
        <v>0</v>
      </c>
      <c r="AG24" s="1600" t="str">
        <f t="shared" si="28"/>
        <v>нет</v>
      </c>
      <c r="AH24" s="1601">
        <f>SUM(IF(КАФЕДРА!$D$20:$D$78=$D24,КАФЕДРА!AH$20:AH$78,0))</f>
        <v>0</v>
      </c>
      <c r="AI24" s="1601">
        <f>SUM(IF(КАФЕДРА!$D$20:$D$78=$D24,КАФЕДРА!AI$20:AI$78,0))</f>
        <v>0</v>
      </c>
      <c r="AJ24" s="1600" t="str">
        <f t="shared" si="2"/>
        <v>нет</v>
      </c>
      <c r="AK24" s="1613">
        <f t="array" ref="AK24">SUM(IF(КАФЕДРА!$D$20:$D$78=$D24,КАФЕДРА!AK$20:AK$78,0))/SUM(IF(КАФЕДРА!$D$20:$D$78=$D24,1,0))</f>
        <v>0</v>
      </c>
      <c r="AL24" s="1613">
        <f t="array" ref="AL24">SUM(IF(КАФЕДРА!$D$20:$D$78=$D24,КАФЕДРА!AL$20:AL$78,0))/SUM(IF(КАФЕДРА!$D$20:$D$78=$D24,1,0))</f>
        <v>0</v>
      </c>
      <c r="AM24" s="1613">
        <f t="array" ref="AM24">SUM(IF(КАФЕДРА!$D$20:$D$78=$D24,КАФЕДРА!AM$20:AM$78,0))/SUM(IF(КАФЕДРА!$D$20:$D$78=$D24,1,0))</f>
        <v>0</v>
      </c>
      <c r="AN24" s="1616">
        <f t="array" ref="AN24">SUM(IF(AK24:AM24&gt;100,100,AK24:AM24))/3</f>
        <v>0</v>
      </c>
      <c r="AO24" s="1614">
        <f t="array" ref="AO24">SUM(IF(КАФЕДРА!$D$20:$D$78=$D24,КАФЕДРА!AO$20:AO$78,0))</f>
        <v>0</v>
      </c>
      <c r="AP24" s="1614">
        <f t="array" ref="AP24">SUM(IF(КАФЕДРА!$D$20:$D$78=$D24,КАФЕДРА!AP$20:AP$78,0))</f>
        <v>0</v>
      </c>
      <c r="AQ24" s="342" t="str">
        <f t="shared" si="29"/>
        <v>нет</v>
      </c>
      <c r="AR24" s="1907">
        <f t="array" ref="AR24">SUM(IF(КАФЕДРА!$D$20:$D$78=$D24,КАФЕДРА!AR$20:AR$78,0))</f>
        <v>120326</v>
      </c>
      <c r="AS24" s="1907">
        <f t="array" ref="AS24">SUM(IF(КАФЕДРА!$D$20:$D$78=$D24,КАФЕДРА!AS$20:AS$78,0))</f>
        <v>85000</v>
      </c>
      <c r="AT24" s="1908" t="e">
        <f t="shared" si="30"/>
        <v>#DIV/0!</v>
      </c>
      <c r="AU24" s="1604">
        <f t="shared" si="31"/>
        <v>141.56</v>
      </c>
      <c r="AV24" s="1907">
        <f t="array" ref="AV24">SUM(IF(КАФЕДРА!$D$20:$D$75=$D24,КАФЕДРА!AV$20:AV$75,0))</f>
        <v>120326</v>
      </c>
      <c r="AW24" s="1907">
        <f t="array" ref="AW24">SUM(IF(КАФЕДРА!$D$20:$D$75=$D24,КАФЕДРА!AW$20:AW$75,0))</f>
        <v>671900</v>
      </c>
      <c r="AX24" s="1907">
        <f t="array" ref="AX24">SUM(IF(КАФЕДРА!$D$20:$D$75=$D24,КАФЕДРА!AX$20:AX$75,0))</f>
        <v>229225</v>
      </c>
      <c r="AY24" s="1907">
        <f t="array" ref="AY24">SUM(IF(КАФЕДРА!$D$20:$D$75=$D24,КАФЕДРА!AY$20:AY$75,0))</f>
        <v>727914.58000000007</v>
      </c>
      <c r="AZ24" s="510" t="e">
        <f t="shared" si="32"/>
        <v>#DIV/0!</v>
      </c>
      <c r="BA24" s="1604">
        <f t="array" ref="BA24">IF(($E24="да"),IF($AX24=0,"нет",$AV24/$AX24*100-100),"нет")</f>
        <v>-47.507470825608024</v>
      </c>
      <c r="BB24" s="1604">
        <f t="array" ref="BB24">IF(($E24="да"),IF($AX24=0,"нет",$AV24/$AX24*100),"нет")</f>
        <v>52.492529174391976</v>
      </c>
      <c r="BC24" s="1604">
        <f t="shared" si="33"/>
        <v>141.56</v>
      </c>
      <c r="BD24" s="331" t="e">
        <f t="array" ref="BD24">IF(($E24="да"),IF(AR24&gt;0,MAX($AZ24/$AZ$16*BD$16,IF(($BA24&gt;0)*ISNUMBER($BA24),$BB24/$BB$16*BD$16,0)),нет),нет)</f>
        <v>#DIV/0!</v>
      </c>
      <c r="BE24" s="1602">
        <f t="array" ref="BE24">SUM(IF(КАФЕДРА!$D$20:$D$75=$D24,КАФЕДРА!BE$20:BE$75,0))</f>
        <v>671900</v>
      </c>
      <c r="BF24" s="1602">
        <f t="array" ref="BF24">SUM(IF(КАФЕДРА!$D$20:$D$75=$D24,КАФЕДРА!BF$20:BF$75,0))</f>
        <v>671900</v>
      </c>
      <c r="BG24" s="1603" t="e">
        <f t="shared" si="34"/>
        <v>#DIV/0!</v>
      </c>
      <c r="BH24" s="1604">
        <f t="shared" si="35"/>
        <v>100</v>
      </c>
      <c r="BI24" s="331">
        <f t="array" ref="BI24">IF(($E24="да")+($F24="да"),IF((BF24+AS24)=0,"нет",(AR24+BE24)/(BF24+AS24)*100),"нет")</f>
        <v>104.66719513806315</v>
      </c>
      <c r="BJ24" s="1618">
        <f t="array" ref="BJ24">SUM(IF(КАФЕДРА!$D$20:$D$75=$D24,КАФЕДРА!BJ$20:BJ$75,0))</f>
        <v>0</v>
      </c>
      <c r="BK24" s="1620">
        <f t="array" ref="BK24">SUM(IF(КАФЕДРА!$D$20:$D$75=$D24,КАФЕДРА!BK$20:BK$75,0))</f>
        <v>0</v>
      </c>
      <c r="BL24" s="1620">
        <f t="array" ref="BL24">SUM(IF(КАФЕДРА!$D$20:$D$75=$D24,КАФЕДРА!BL$20:BL$75,0))</f>
        <v>0</v>
      </c>
      <c r="BM24" s="1628" t="str">
        <f t="shared" si="3"/>
        <v>нет</v>
      </c>
      <c r="BN24" s="1614">
        <f t="shared" si="14"/>
        <v>0</v>
      </c>
      <c r="BO24" s="1622">
        <f t="array" ref="BO24">SUM(IF(КАФЕДРА!$D$20:$D$75=$D24,КАФЕДРА!BO$20:BO$75,0))</f>
        <v>0</v>
      </c>
      <c r="BP24" s="1624" t="e">
        <f t="shared" si="36"/>
        <v>#DIV/0!</v>
      </c>
      <c r="BQ24" s="1629" t="e">
        <f t="shared" si="4"/>
        <v>#DIV/0!</v>
      </c>
      <c r="BR24" s="1622">
        <f t="array" ref="BR24">SUM(IF(КАФЕДРА!$D$20:$D$75=$D24,КАФЕДРА!BR$20:BR$75,0))</f>
        <v>0</v>
      </c>
      <c r="BS24" s="1622">
        <f t="array" ref="BS24">SUM(IF(КАФЕДРА!$D$20:$D$75=$D24,КАФЕДРА!BS$20:BS$75,0))</f>
        <v>0</v>
      </c>
      <c r="BT24" s="1626">
        <f t="shared" si="38"/>
        <v>0</v>
      </c>
      <c r="BU24" s="1631">
        <f t="shared" si="15"/>
        <v>100</v>
      </c>
      <c r="BV24" s="1622">
        <f t="array" ref="BV24">SUM(IF(КАФЕДРА!$D$20:$D$75=$D24,КАФЕДРА!BV$20:BV$75,0))</f>
        <v>0</v>
      </c>
      <c r="BW24" s="1622">
        <f t="array" ref="BW24">SUM(IF(КАФЕДРА!$D$20:$D$75=$D24,КАФЕДРА!BW$20:BW$75,0))</f>
        <v>0</v>
      </c>
      <c r="BX24" s="1629" t="str">
        <f t="shared" si="16"/>
        <v>нет</v>
      </c>
      <c r="BY24" s="1622">
        <f t="array" ref="BY24">SUM(IF(КАФЕДРА!$D$20:$D$75=$D24,КАФЕДРА!BY$20:BY$75,0))</f>
        <v>0</v>
      </c>
      <c r="BZ24" s="1622">
        <f t="array" ref="BZ24">SUM(IF(КАФЕДРА!$D$20:$D$75=$D24,КАФЕДРА!BZ$20:BZ$75,0))</f>
        <v>0</v>
      </c>
      <c r="CA24" s="1629" t="str">
        <f t="shared" si="37"/>
        <v>нет</v>
      </c>
      <c r="CC24" s="162" t="str">
        <f>ИНСТИТУТ!CO24</f>
        <v>ФАРМ</v>
      </c>
      <c r="CF24" s="93" t="e">
        <f t="array" ref="CF24">SUM(IF($F24:$CA24=нет,0,IF($F24:$CA24&gt;=$F$16:$CA$16,$F$16:$CA$16,IF($F24:$CA24&lt;$F$17:$CA$17,0,$F24:$CA24)))*$F$11:$CA$11*($F$108:$CA$108=CF$4)/$F$16:$CA$16*($F$110:$CA$119*($B$110:$B$119=$B24)*($A$110:$A$119=$A$108)))</f>
        <v>#DIV/0!</v>
      </c>
      <c r="CG24" s="93" t="e">
        <f t="array" ref="CG24">SUM(IF($F24:$CA24=нет,0,IF($F24:$CA24&gt;=$F$16:$CA$16,$F$16:$CA$16,IF($F24:$CA24&lt;$F$17:$CA$17,0,$F24:$CA24)))*$F$11:$CA$11*($F$108:$CA$108=CG$4)/$F$16:$CA$16*($F$110:$CA$119*($B$110:$B$119=$B24)*($A$110:$A$119=$A$108)))</f>
        <v>#DIV/0!</v>
      </c>
      <c r="CH24" s="93" t="e">
        <f t="array" ref="CH24">SUM(IF($F24:$CA24=нет,0,IF($F24:$CA24&gt;=$F$16:$CA$16,$F$16:$CA$16,IF($F24:$CA24&lt;$F$17:$CA$17,0,$F24:$CA24)))*$F$11:$CA$11*($F$109:$CA$109=CH$4)/$F$16:$CA$16*($F$110:$CA$119*($B$110:$B$119=$B24)*($A$110:$A$119=$A$108)))</f>
        <v>#DIV/0!</v>
      </c>
      <c r="CI24" s="93">
        <v>0</v>
      </c>
      <c r="CJ24" s="93" t="e">
        <f t="array" ref="CJ24">SUM(IF($F24:$CA24=нет,0,IF($F24:$CA24&gt;=$F$16:$CA$16,$F$16:$CA$16,IF($F24:$CA24&lt;$F$17:$CA$17,0,$F24:$CA24)))*$F$11:$CA$11*($F$108:$CA$108=CJ$4)/$F$16:$CA$16*($F$110:$CA$119*($B$110:$B$119=$B24)*($A$110:$A$119=$A$108)))</f>
        <v>#DIV/0!</v>
      </c>
      <c r="CK24" s="93" t="e">
        <f t="array" ref="CK24">SUM(IF($F24:$CA24=нет,0,IF($F24:$CA24&gt;=$F$16:$CA$16,$F$16:$CA$16,IF($F24:$CA24&lt;$F$17:$CA$17,0,$F24:$CA24)))*$F$11:$CA$11*($F$108:$CA$108=CK$4)/$F$16:$CA$16*($F$110:$CA$119*($B$110:$B$119=$B24)*($A$110:$A$119=$A$108)))</f>
        <v>#DIV/0!</v>
      </c>
      <c r="CL24" s="93" t="e">
        <f t="array" ref="CL24">SUM(IF($F24:$CA24=нет,0,IF($F24:$CA24&gt;=$F$16:$CA$16,$F$16:$CA$16,IF($F24:$CA24&lt;$F$17:$CA$17,0,$F24:$CA24)))*$F$11:$CA$11*($F$108:$CA$108=CL$4)/$F$16:$CA$16*($F$110:$CA$119*($B$110:$B$119=$B24)*($A$110:$A$119=$A$108)))</f>
        <v>#DIV/0!</v>
      </c>
      <c r="CN24" s="1106" t="e">
        <f t="array" ref="CN24">SUM(IF($F24:$CA24=нет,0,100)*$F$11:$CA$11*($F$108:$CA$108=CN$4)/100*($F$110:$CA$119*($B$110:$B$119=$B24)*($A$110:$A$119=$A$108)))</f>
        <v>#DIV/0!</v>
      </c>
      <c r="CO24" s="1106" t="e">
        <f t="array" ref="CO24">SUM(IF($F24:$CA24=нет,0,100)*$F$11:$CA$11*($F$108:$CA$108=CO$4)/100*($F$110:$CA$119*($B$110:$B$119=$B24)*($A$110:$A$119=$A$108)))</f>
        <v>#DIV/0!</v>
      </c>
      <c r="CP24" s="1106" t="e">
        <f t="array" ref="CP24">SUM(IF($F24:$CA24=нет,0,100)*$F$11:$CA$11*($F$109:$CA$109=CP$4)/100*($F$110:$CA$119*($B$110:$B$119=$B24)*($A$110:$A$119=$A$108)))</f>
        <v>#DIV/0!</v>
      </c>
      <c r="CQ24" s="1106">
        <f>IF(OR(ТИТУЛ!$B$22=2,ТИТУЛ!$B$22=4),23,0)</f>
        <v>23</v>
      </c>
      <c r="CR24" s="1106" t="e">
        <f t="array" ref="CR24">SUM(IF($F24:$CA24=нет,0,100)*$F$11:$CA$11*($F$108:$CA$108=CR$4)/100*($F$110:$CA$119*($B$110:$B$119=$B24)*($A$110:$A$119=$A$108)))</f>
        <v>#DIV/0!</v>
      </c>
      <c r="CS24" s="1106" t="e">
        <f t="array" ref="CS24">SUM(IF($F24:$CA24=нет,0,100)*$F$11:$CA$11*($F$108:$CA$108=CS$4)/100*($F$110:$CA$119*($B$110:$B$119=$B24)*($A$110:$A$119=$A$108)))</f>
        <v>#DIV/0!</v>
      </c>
      <c r="CT24" s="1106" t="e">
        <f t="array" ref="CT24">SUM(IF($F24:$CA24=нет,0,100)*$F$11:$CA$11*($F$108:$CA$108=CT$4)/100*($F$110:$CA$119*($B$110:$B$119=$B24)*($A$110:$A$119=$A$108)))</f>
        <v>#DIV/0!</v>
      </c>
      <c r="CV24" s="760" t="e">
        <f>SUM(CF24:CG24,CI24:CL24,'«ВУЗ-РЕГИОН»(кафедры)'!W24,' "Вуз зож" (кафедры)'!S24)</f>
        <v>#DIV/0!</v>
      </c>
      <c r="CW24" s="760" t="e">
        <f>SUM(CN24:CO24,CQ24:CT24,'«ВУЗ-РЕГИОН»(кафедры)'!X24,' "Вуз зож" (кафедры)'!T24)</f>
        <v>#DIV/0!</v>
      </c>
      <c r="CX24" s="759" t="e">
        <f t="shared" si="17"/>
        <v>#DIV/0!</v>
      </c>
      <c r="CZ24" s="760" t="e">
        <f>SUM(CH24:CJ24,CL24,'«ВУЗ-РЕГИОН»(кафедры)'!W24,' "Вуз зож" (кафедры)'!S24)</f>
        <v>#DIV/0!</v>
      </c>
      <c r="DA24" s="760" t="e">
        <f>SUM(CP24:CR24,CT24,'«ВУЗ-РЕГИОН»(кафедры)'!X24,' "Вуз зож" (кафедры)'!T24)</f>
        <v>#DIV/0!</v>
      </c>
      <c r="DB24" s="759" t="e">
        <f t="shared" si="18"/>
        <v>#DIV/0!</v>
      </c>
      <c r="DD24" s="168" t="e">
        <f t="shared" si="5"/>
        <v>#DIV/0!</v>
      </c>
      <c r="DE24" s="168" t="e">
        <f t="shared" si="6"/>
        <v>#DIV/0!</v>
      </c>
      <c r="DF24" s="168" t="e">
        <f t="shared" si="7"/>
        <v>#DIV/0!</v>
      </c>
      <c r="DG24" s="168" t="str">
        <f t="shared" si="8"/>
        <v>0,0%
=0,0/23,0</v>
      </c>
      <c r="DH24" s="168" t="e">
        <f t="shared" si="9"/>
        <v>#DIV/0!</v>
      </c>
      <c r="DI24" s="168" t="e">
        <f t="shared" si="10"/>
        <v>#DIV/0!</v>
      </c>
      <c r="DJ24" s="168" t="e">
        <f t="shared" si="11"/>
        <v>#DIV/0!</v>
      </c>
      <c r="DK24" s="92" t="str">
        <f t="shared" si="12"/>
        <v>Институт фармации</v>
      </c>
      <c r="DL24" s="31" t="str">
        <f t="shared" si="19"/>
        <v>ФАРМ</v>
      </c>
      <c r="DM24" s="168" t="e">
        <f t="shared" si="20"/>
        <v>#DIV/0!</v>
      </c>
      <c r="DO24" s="92" t="e">
        <f>((CF24/CN24)*80+(ИНСТИТУТ!CS24/ИНСТИТУТ!DB24)*20)/100</f>
        <v>#DIV/0!</v>
      </c>
      <c r="DP24" s="92" t="e">
        <f>((CG24/CO24)*80+(ИНСТИТУТ!CT24/ИНСТИТУТ!DC24)*20)/100</f>
        <v>#DIV/0!</v>
      </c>
      <c r="DQ24" s="92" t="e">
        <f>((CH24/CP24)*80+(ИНСТИТУТ!CU24/ИНСТИТУТ!DD24)*20)/100</f>
        <v>#DIV/0!</v>
      </c>
      <c r="DR24" s="92" t="e">
        <f>((CI24/CQ24)*80+(ИНСТИТУТ!CV24/ИНСТИТУТ!DE24)*20)/100</f>
        <v>#DIV/0!</v>
      </c>
      <c r="DS24" s="92" t="e">
        <f>((CJ24/CR24)*80+(ИНСТИТУТ!CW24/ИНСТИТУТ!DF24)*20)/100</f>
        <v>#DIV/0!</v>
      </c>
      <c r="DT24" s="92" t="e">
        <f>((CK24/CS24)*80+(ИНСТИТУТ!CY24/ИНСТИТУТ!DH24)*20)/100</f>
        <v>#DIV/0!</v>
      </c>
      <c r="DU24" s="92" t="e">
        <f>((CL24/CT24)*80+(ИНСТИТУТ!CZ24/ИНСТИТУТ!DI24)*20)/100</f>
        <v>#DIV/0!</v>
      </c>
      <c r="DZ24" s="92" t="e">
        <f>(CX24*80+ИНСТИТУТ!DM24*20)/100</f>
        <v>#DIV/0!</v>
      </c>
    </row>
    <row r="25" spans="1:130" ht="18" x14ac:dyDescent="0.25">
      <c r="A25" s="139" t="str">
        <f>ИНСТИТУТ!A25</f>
        <v>Институт клинической психологии</v>
      </c>
      <c r="B25" s="97" t="s">
        <v>35</v>
      </c>
      <c r="C25" s="139">
        <f t="array" ref="C25">SUM(IF(КАФЕДРА!$D$20:$D$75=$D25,КАФЕДРА!$C$20:$C$75,0))</f>
        <v>0</v>
      </c>
      <c r="D25" s="139" t="str">
        <f t="shared" si="13"/>
        <v>КПСИХОЛОГИИ</v>
      </c>
      <c r="E25" s="157" t="s">
        <v>16</v>
      </c>
      <c r="F25" s="157" t="s">
        <v>16</v>
      </c>
      <c r="G25" s="1601">
        <f t="array" ref="G25">SUM(IF(КАФЕДРА!$D$20:$D$78=$D25,КАФЕДРА!G$20:G$78,0))</f>
        <v>0</v>
      </c>
      <c r="H25" s="1600">
        <f t="shared" si="0"/>
        <v>100</v>
      </c>
      <c r="I25" s="1601">
        <f t="array" ref="I25">SUM(IF(КАФЕДРА!$D$20:$D$78=$D25,КАФЕДРА!I$20:I$78,0))</f>
        <v>0</v>
      </c>
      <c r="J25" s="1600">
        <f t="shared" si="1"/>
        <v>100</v>
      </c>
      <c r="K25" s="1609">
        <f t="array" ref="K25">SUM(IF(КАФЕДРА!$D$20:$D$78=$D25,КАФЕДРА!K$20:K$78,0))</f>
        <v>0</v>
      </c>
      <c r="L25" s="1609">
        <f t="array" ref="L25">SUM(IF(КАФЕДРА!$D$20:$D$78=$D25,КАФЕДРА!L$20:L$78,0))</f>
        <v>0</v>
      </c>
      <c r="M25" s="1610" t="str">
        <f t="shared" si="21"/>
        <v>нет</v>
      </c>
      <c r="N25" s="1609">
        <f t="array" ref="N25">SUM(IF(КАФЕДРА!$D$20:$D$78=$D25,КАФЕДРА!N$20:N$78,0))</f>
        <v>0</v>
      </c>
      <c r="O25" s="1609">
        <f t="array" ref="O25">SUM(IF(КАФЕДРА!$D$20:$D$78=$D25,КАФЕДРА!O$20:O$78,0))</f>
        <v>0</v>
      </c>
      <c r="P25" s="1611" t="str">
        <f t="shared" si="22"/>
        <v>нет</v>
      </c>
      <c r="Q25" s="1601">
        <f t="array" ref="Q25">SUM(IF(КАФЕДРА!$D$20:$D$78=$D25,КАФЕДРА!Q$20:Q$78,0))</f>
        <v>0</v>
      </c>
      <c r="R25" s="1600">
        <f t="shared" si="23"/>
        <v>100</v>
      </c>
      <c r="S25" s="1601">
        <f t="array" ref="S25">SUM(IF(КАФЕДРА!$D$20:$D$78=$D25,КАФЕДРА!S$20:S$78,0))</f>
        <v>0</v>
      </c>
      <c r="T25" s="1601">
        <f t="array" ref="T25">SUM(IF(КАФЕДРА!$D$20:$D$78=$D25,КАФЕДРА!T$20:T$78,0))</f>
        <v>0</v>
      </c>
      <c r="U25" s="1600" t="str">
        <f t="shared" si="24"/>
        <v>нет</v>
      </c>
      <c r="V25" s="1601">
        <f>SUM(IF(КАФЕДРА!$D$20:$D$78=$D25,КАФЕДРА!V$20:V$78,0))</f>
        <v>0</v>
      </c>
      <c r="W25" s="1601">
        <f>SUM(IF(КАФЕДРА!$D$20:$D$78=$D25,КАФЕДРА!W$20:W$78,0))</f>
        <v>0</v>
      </c>
      <c r="X25" s="1600" t="str">
        <f t="shared" si="25"/>
        <v>нет</v>
      </c>
      <c r="Y25" s="1601">
        <f t="array" ref="Y25">SUM(IF(КАФЕДРА!$D$20:$D$78=$D25,КАФЕДРА!Y$20:Y$78,0))</f>
        <v>0</v>
      </c>
      <c r="Z25" s="1601">
        <f t="array" ref="Z25">SUM(IF(КАФЕДРА!$D$20:$D$78=$D25,КАФЕДРА!Z$20:Z$78,0))</f>
        <v>0</v>
      </c>
      <c r="AA25" s="1600" t="str">
        <f t="shared" si="26"/>
        <v>нет</v>
      </c>
      <c r="AB25" s="1601">
        <f>SUM(IF(КАФЕДРА!$D$20:$D$78=$D25,КАФЕДРА!AB$20:AB$78,0))</f>
        <v>0</v>
      </c>
      <c r="AC25" s="1601">
        <f>SUM(IF(КАФЕДРА!$D$20:$D$78=$D25,КАФЕДРА!AC$20:AC$78,0))</f>
        <v>0</v>
      </c>
      <c r="AD25" s="1600" t="str">
        <f t="shared" si="27"/>
        <v>нет</v>
      </c>
      <c r="AE25" s="1601">
        <f t="array" ref="AE25">SUM(IF(КАФЕДРА!$D$20:$D$78=$D25,КАФЕДРА!AE$20:AE$78,0))</f>
        <v>0</v>
      </c>
      <c r="AF25" s="1601">
        <f t="array" ref="AF25">SUM(IF(КАФЕДРА!$D$20:$D$78=$D25,КАФЕДРА!AF$20:AF$78,0))</f>
        <v>0</v>
      </c>
      <c r="AG25" s="1600" t="str">
        <f t="shared" si="28"/>
        <v>нет</v>
      </c>
      <c r="AH25" s="1601">
        <f>SUM(IF(КАФЕДРА!$D$20:$D$78=$D25,КАФЕДРА!AH$20:AH$78,0))</f>
        <v>0</v>
      </c>
      <c r="AI25" s="1601">
        <f>SUM(IF(КАФЕДРА!$D$20:$D$78=$D25,КАФЕДРА!AI$20:AI$78,0))</f>
        <v>0</v>
      </c>
      <c r="AJ25" s="1600" t="str">
        <f t="shared" si="2"/>
        <v>нет</v>
      </c>
      <c r="AK25" s="1613">
        <f t="array" ref="AK25">SUM(IF(КАФЕДРА!$D$20:$D$78=$D25,КАФЕДРА!AK$20:AK$78,0))/SUM(IF(КАФЕДРА!$D$20:$D$78=$D25,1,0))</f>
        <v>0</v>
      </c>
      <c r="AL25" s="1613">
        <f t="array" ref="AL25">SUM(IF(КАФЕДРА!$D$20:$D$78=$D25,КАФЕДРА!AL$20:AL$78,0))/SUM(IF(КАФЕДРА!$D$20:$D$78=$D25,1,0))</f>
        <v>0</v>
      </c>
      <c r="AM25" s="1613">
        <f t="array" ref="AM25">SUM(IF(КАФЕДРА!$D$20:$D$78=$D25,КАФЕДРА!AM$20:AM$78,0))/SUM(IF(КАФЕДРА!$D$20:$D$78=$D25,1,0))</f>
        <v>0</v>
      </c>
      <c r="AN25" s="1616">
        <f t="array" ref="AN25">SUM(IF(AK25:AM25&gt;100,100,AK25:AM25))/3</f>
        <v>0</v>
      </c>
      <c r="AO25" s="1614">
        <f t="array" ref="AO25">SUM(IF(КАФЕДРА!$D$20:$D$78=$D25,КАФЕДРА!AO$20:AO$78,0))</f>
        <v>0</v>
      </c>
      <c r="AP25" s="1614">
        <f t="array" ref="AP25">SUM(IF(КАФЕДРА!$D$20:$D$78=$D25,КАФЕДРА!AP$20:AP$78,0))</f>
        <v>0</v>
      </c>
      <c r="AQ25" s="342" t="str">
        <f t="shared" si="29"/>
        <v>нет</v>
      </c>
      <c r="AR25" s="1907">
        <f t="array" ref="AR25">SUM(IF(КАФЕДРА!$D$20:$D$78=$D25,КАФЕДРА!AR$20:AR$78,0))</f>
        <v>2036077</v>
      </c>
      <c r="AS25" s="1907">
        <f t="array" ref="AS25">SUM(IF(КАФЕДРА!$D$20:$D$78=$D25,КАФЕДРА!AS$20:AS$78,0))</f>
        <v>770000</v>
      </c>
      <c r="AT25" s="1908" t="e">
        <f t="shared" si="30"/>
        <v>#DIV/0!</v>
      </c>
      <c r="AU25" s="1604">
        <f t="shared" si="31"/>
        <v>264.42558441558441</v>
      </c>
      <c r="AV25" s="1907">
        <f t="array" ref="AV25">SUM(IF(КАФЕДРА!$D$20:$D$75=$D25,КАФЕДРА!AV$20:AV$75,0))</f>
        <v>2036077</v>
      </c>
      <c r="AW25" s="1907">
        <f t="array" ref="AW25">SUM(IF(КАФЕДРА!$D$20:$D$75=$D25,КАФЕДРА!AW$20:AW$75,0))</f>
        <v>0</v>
      </c>
      <c r="AX25" s="1907">
        <f t="array" ref="AX25">SUM(IF(КАФЕДРА!$D$20:$D$75=$D25,КАФЕДРА!AX$20:AX$75,0))</f>
        <v>2058311.1</v>
      </c>
      <c r="AY25" s="1907">
        <f t="array" ref="AY25">SUM(IF(КАФЕДРА!$D$20:$D$75=$D25,КАФЕДРА!AY$20:AY$75,0))</f>
        <v>0</v>
      </c>
      <c r="AZ25" s="510" t="e">
        <f t="shared" si="32"/>
        <v>#DIV/0!</v>
      </c>
      <c r="BA25" s="1604">
        <f t="array" ref="BA25">IF(($E25="да"),IF($AX25=0,"нет",$AV25/$AX25*100-100),"нет")</f>
        <v>-1.0802108583100107</v>
      </c>
      <c r="BB25" s="1604">
        <f t="array" ref="BB25">IF(($E25="да"),IF($AX25=0,"нет",$AV25/$AX25*100),"нет")</f>
        <v>98.919789141689989</v>
      </c>
      <c r="BC25" s="1604">
        <f t="shared" si="33"/>
        <v>264.42558441558441</v>
      </c>
      <c r="BD25" s="331" t="e">
        <f t="array" ref="BD25">IF(($E25="да"),IF(AR25&gt;0,MAX($AZ25/$AZ$16*BD$16,IF(($BA25&gt;0)*ISNUMBER($BA25),$BB25/$BB$16*BD$16,0)),нет),нет)</f>
        <v>#DIV/0!</v>
      </c>
      <c r="BE25" s="1602">
        <f t="array" ref="BE25">SUM(IF(КАФЕДРА!$D$20:$D$75=$D25,КАФЕДРА!BE$20:BE$75,0))</f>
        <v>0</v>
      </c>
      <c r="BF25" s="1602">
        <f t="array" ref="BF25">SUM(IF(КАФЕДРА!$D$20:$D$75=$D25,КАФЕДРА!BF$20:BF$75,0))</f>
        <v>0</v>
      </c>
      <c r="BG25" s="1603">
        <f t="shared" si="34"/>
        <v>0</v>
      </c>
      <c r="BH25" s="1604" t="str">
        <f t="shared" si="35"/>
        <v>нет</v>
      </c>
      <c r="BI25" s="331">
        <f t="array" ref="BI25">IF(($E25="да")+($F25="да"),IF((BF25+AS25)=0,"нет",(AR25+BE25)/(BF25+AS25)*100),"нет")</f>
        <v>264.42558441558441</v>
      </c>
      <c r="BJ25" s="1618">
        <f t="array" ref="BJ25">SUM(IF(КАФЕДРА!$D$20:$D$75=$D25,КАФЕДРА!BJ$20:BJ$75,0))</f>
        <v>0</v>
      </c>
      <c r="BK25" s="1620">
        <f t="array" ref="BK25">SUM(IF(КАФЕДРА!$D$20:$D$75=$D25,КАФЕДРА!BK$20:BK$75,0))</f>
        <v>0</v>
      </c>
      <c r="BL25" s="1620">
        <f t="array" ref="BL25">SUM(IF(КАФЕДРА!$D$20:$D$75=$D25,КАФЕДРА!BL$20:BL$75,0))</f>
        <v>0</v>
      </c>
      <c r="BM25" s="1628" t="str">
        <f t="shared" si="3"/>
        <v>нет</v>
      </c>
      <c r="BN25" s="1614">
        <f t="shared" si="14"/>
        <v>0</v>
      </c>
      <c r="BO25" s="1622">
        <f t="array" ref="BO25">SUM(IF(КАФЕДРА!$D$20:$D$75=$D25,КАФЕДРА!BO$20:BO$75,0))</f>
        <v>0</v>
      </c>
      <c r="BP25" s="1624" t="e">
        <f t="shared" si="36"/>
        <v>#DIV/0!</v>
      </c>
      <c r="BQ25" s="1629" t="e">
        <f t="shared" si="4"/>
        <v>#DIV/0!</v>
      </c>
      <c r="BR25" s="1622">
        <f t="array" ref="BR25">SUM(IF(КАФЕДРА!$D$20:$D$75=$D25,КАФЕДРА!BR$20:BR$75,0))</f>
        <v>0</v>
      </c>
      <c r="BS25" s="1622">
        <f t="array" ref="BS25">SUM(IF(КАФЕДРА!$D$20:$D$75=$D25,КАФЕДРА!BS$20:BS$75,0))</f>
        <v>0</v>
      </c>
      <c r="BT25" s="1626">
        <f t="shared" si="38"/>
        <v>0</v>
      </c>
      <c r="BU25" s="1631">
        <f t="shared" si="15"/>
        <v>100</v>
      </c>
      <c r="BV25" s="1622">
        <f t="array" ref="BV25">SUM(IF(КАФЕДРА!$D$20:$D$75=$D25,КАФЕДРА!BV$20:BV$75,0))</f>
        <v>0</v>
      </c>
      <c r="BW25" s="1622">
        <f t="array" ref="BW25">SUM(IF(КАФЕДРА!$D$20:$D$75=$D25,КАФЕДРА!BW$20:BW$75,0))</f>
        <v>0</v>
      </c>
      <c r="BX25" s="1629" t="str">
        <f t="shared" si="16"/>
        <v>нет</v>
      </c>
      <c r="BY25" s="1622">
        <f t="array" ref="BY25">SUM(IF(КАФЕДРА!$D$20:$D$75=$D25,КАФЕДРА!BY$20:BY$75,0))</f>
        <v>0</v>
      </c>
      <c r="BZ25" s="1622">
        <f t="array" ref="BZ25">SUM(IF(КАФЕДРА!$D$20:$D$75=$D25,КАФЕДРА!BZ$20:BZ$75,0))</f>
        <v>0</v>
      </c>
      <c r="CA25" s="1629" t="str">
        <f t="shared" si="37"/>
        <v>нет</v>
      </c>
      <c r="CC25" s="162" t="str">
        <f>ИНСТИТУТ!CO25</f>
        <v>КПСИХОЛОГИИ</v>
      </c>
      <c r="CF25" s="93" t="e">
        <f t="array" ref="CF25">SUM(IF($F25:$CA25=нет,0,IF($F25:$CA25&gt;=$F$16:$CA$16,$F$16:$CA$16,IF($F25:$CA25&lt;$F$17:$CA$17,0,$F25:$CA25)))*$F$11:$CA$11*($F$108:$CA$108=CF$4)/$F$16:$CA$16*($F$110:$CA$119*($B$110:$B$119=$B25)*($A$110:$A$119=$A$108)))</f>
        <v>#DIV/0!</v>
      </c>
      <c r="CG25" s="93" t="e">
        <f t="array" ref="CG25">SUM(IF($F25:$CA25=нет,0,IF($F25:$CA25&gt;=$F$16:$CA$16,$F$16:$CA$16,IF($F25:$CA25&lt;$F$17:$CA$17,0,$F25:$CA25)))*$F$11:$CA$11*($F$108:$CA$108=CG$4)/$F$16:$CA$16*($F$110:$CA$119*($B$110:$B$119=$B25)*($A$110:$A$119=$A$108)))</f>
        <v>#DIV/0!</v>
      </c>
      <c r="CH25" s="93" t="e">
        <f t="array" ref="CH25">SUM(IF($F25:$CA25=нет,0,IF($F25:$CA25&gt;=$F$16:$CA$16,$F$16:$CA$16,IF($F25:$CA25&lt;$F$17:$CA$17,0,$F25:$CA25)))*$F$11:$CA$11*($F$109:$CA$109=CH$4)/$F$16:$CA$16*($F$110:$CA$119*($B$110:$B$119=$B25)*($A$110:$A$119=$A$108)))</f>
        <v>#DIV/0!</v>
      </c>
      <c r="CI25" s="93">
        <v>0</v>
      </c>
      <c r="CJ25" s="93" t="e">
        <f t="array" ref="CJ25">SUM(IF($F25:$CA25=нет,0,IF($F25:$CA25&gt;=$F$16:$CA$16,$F$16:$CA$16,IF($F25:$CA25&lt;$F$17:$CA$17,0,$F25:$CA25)))*$F$11:$CA$11*($F$108:$CA$108=CJ$4)/$F$16:$CA$16*($F$110:$CA$119*($B$110:$B$119=$B25)*($A$110:$A$119=$A$108)))</f>
        <v>#DIV/0!</v>
      </c>
      <c r="CK25" s="93" t="e">
        <f t="array" ref="CK25">SUM(IF($F25:$CA25=нет,0,IF($F25:$CA25&gt;=$F$16:$CA$16,$F$16:$CA$16,IF($F25:$CA25&lt;$F$17:$CA$17,0,$F25:$CA25)))*$F$11:$CA$11*($F$108:$CA$108=CK$4)/$F$16:$CA$16*($F$110:$CA$119*($B$110:$B$119=$B25)*($A$110:$A$119=$A$108)))</f>
        <v>#DIV/0!</v>
      </c>
      <c r="CL25" s="93" t="e">
        <f t="array" ref="CL25">SUM(IF($F25:$CA25=нет,0,IF($F25:$CA25&gt;=$F$16:$CA$16,$F$16:$CA$16,IF($F25:$CA25&lt;$F$17:$CA$17,0,$F25:$CA25)))*$F$11:$CA$11*($F$108:$CA$108=CL$4)/$F$16:$CA$16*($F$110:$CA$119*($B$110:$B$119=$B25)*($A$110:$A$119=$A$108)))</f>
        <v>#DIV/0!</v>
      </c>
      <c r="CN25" s="1106" t="e">
        <f t="array" ref="CN25">SUM(IF($F25:$CA25=нет,0,100)*$F$11:$CA$11*($F$108:$CA$108=CN$4)/100*($F$110:$CA$119*($B$110:$B$119=$B25)*($A$110:$A$119=$A$108)))</f>
        <v>#DIV/0!</v>
      </c>
      <c r="CO25" s="1106" t="e">
        <f t="array" ref="CO25">SUM(IF($F25:$CA25=нет,0,100)*$F$11:$CA$11*($F$108:$CA$108=CO$4)/100*($F$110:$CA$119*($B$110:$B$119=$B25)*($A$110:$A$119=$A$108)))</f>
        <v>#DIV/0!</v>
      </c>
      <c r="CP25" s="1106" t="e">
        <f t="array" ref="CP25">SUM(IF($F25:$CA25=нет,0,100)*$F$11:$CA$11*($F$109:$CA$109=CP$4)/100*($F$110:$CA$119*($B$110:$B$119=$B25)*($A$110:$A$119=$A$108)))</f>
        <v>#DIV/0!</v>
      </c>
      <c r="CQ25" s="1106">
        <f>IF(OR(ТИТУЛ!$B$22=2,ТИТУЛ!$B$22=4),23,0)</f>
        <v>23</v>
      </c>
      <c r="CR25" s="1106" t="e">
        <f t="array" ref="CR25">SUM(IF($F25:$CA25=нет,0,100)*$F$11:$CA$11*($F$108:$CA$108=CR$4)/100*($F$110:$CA$119*($B$110:$B$119=$B25)*($A$110:$A$119=$A$108)))</f>
        <v>#DIV/0!</v>
      </c>
      <c r="CS25" s="1106" t="e">
        <f t="array" ref="CS25">SUM(IF($F25:$CA25=нет,0,100)*$F$11:$CA$11*($F$108:$CA$108=CS$4)/100*($F$110:$CA$119*($B$110:$B$119=$B25)*($A$110:$A$119=$A$108)))</f>
        <v>#DIV/0!</v>
      </c>
      <c r="CT25" s="1106" t="e">
        <f t="array" ref="CT25">SUM(IF($F25:$CA25=нет,0,100)*$F$11:$CA$11*($F$108:$CA$108=CT$4)/100*($F$110:$CA$119*($B$110:$B$119=$B25)*($A$110:$A$119=$A$108)))</f>
        <v>#DIV/0!</v>
      </c>
      <c r="CV25" s="760" t="e">
        <f>SUM(CF25:CG25,CI25:CL25,'«ВУЗ-РЕГИОН»(кафедры)'!W25,' "Вуз зож" (кафедры)'!S25)</f>
        <v>#DIV/0!</v>
      </c>
      <c r="CW25" s="760" t="e">
        <f>SUM(CN25:CO25,CQ25:CT25,'«ВУЗ-РЕГИОН»(кафедры)'!X25,' "Вуз зож" (кафедры)'!T25)</f>
        <v>#DIV/0!</v>
      </c>
      <c r="CX25" s="759" t="e">
        <f t="shared" si="17"/>
        <v>#DIV/0!</v>
      </c>
      <c r="CZ25" s="760" t="e">
        <f>SUM(CH25:CJ25,CL25,'«ВУЗ-РЕГИОН»(кафедры)'!W25,' "Вуз зож" (кафедры)'!S25)</f>
        <v>#DIV/0!</v>
      </c>
      <c r="DA25" s="760" t="e">
        <f>SUM(CP25:CR25,CT25,'«ВУЗ-РЕГИОН»(кафедры)'!X25,' "Вуз зож" (кафедры)'!T25)</f>
        <v>#DIV/0!</v>
      </c>
      <c r="DB25" s="759" t="e">
        <f t="shared" si="18"/>
        <v>#DIV/0!</v>
      </c>
      <c r="DD25" s="168" t="e">
        <f t="shared" si="5"/>
        <v>#DIV/0!</v>
      </c>
      <c r="DE25" s="168" t="e">
        <f t="shared" si="6"/>
        <v>#DIV/0!</v>
      </c>
      <c r="DF25" s="168" t="e">
        <f t="shared" si="7"/>
        <v>#DIV/0!</v>
      </c>
      <c r="DG25" s="168" t="str">
        <f t="shared" si="8"/>
        <v>0,0%
=0,0/23,0</v>
      </c>
      <c r="DH25" s="168" t="e">
        <f t="shared" si="9"/>
        <v>#DIV/0!</v>
      </c>
      <c r="DI25" s="168" t="e">
        <f t="shared" si="10"/>
        <v>#DIV/0!</v>
      </c>
      <c r="DJ25" s="168" t="e">
        <f t="shared" si="11"/>
        <v>#DIV/0!</v>
      </c>
      <c r="DK25" s="92" t="str">
        <f t="shared" si="12"/>
        <v>Институт клинической психологии</v>
      </c>
      <c r="DL25" s="31" t="str">
        <f t="shared" si="19"/>
        <v>КПСИХОЛОГИИ</v>
      </c>
      <c r="DM25" s="168" t="e">
        <f t="shared" si="20"/>
        <v>#DIV/0!</v>
      </c>
      <c r="DO25" s="92" t="e">
        <f>((CF25/CN25)*80+(ИНСТИТУТ!CS25/ИНСТИТУТ!DB25)*20)/100</f>
        <v>#DIV/0!</v>
      </c>
      <c r="DP25" s="92" t="e">
        <f>((CG25/CO25)*80+(ИНСТИТУТ!CT25/ИНСТИТУТ!DC25)*20)/100</f>
        <v>#DIV/0!</v>
      </c>
      <c r="DQ25" s="92" t="e">
        <f>((CH25/CP25)*80+(ИНСТИТУТ!CU25/ИНСТИТУТ!DD25)*20)/100</f>
        <v>#DIV/0!</v>
      </c>
      <c r="DR25" s="92" t="e">
        <f>((CI25/CQ25)*80+(ИНСТИТУТ!CV25/ИНСТИТУТ!DE25)*20)/100</f>
        <v>#DIV/0!</v>
      </c>
      <c r="DS25" s="92" t="e">
        <f>((CJ25/CR25)*80+(ИНСТИТУТ!CW25/ИНСТИТУТ!DF25)*20)/100</f>
        <v>#DIV/0!</v>
      </c>
      <c r="DT25" s="92" t="e">
        <f>((CK25/CS25)*80+(ИНСТИТУТ!CY25/ИНСТИТУТ!DH25)*20)/100</f>
        <v>#DIV/0!</v>
      </c>
      <c r="DU25" s="92" t="e">
        <f>((CL25/CT25)*80+(ИНСТИТУТ!CZ25/ИНСТИТУТ!DI25)*20)/100</f>
        <v>#DIV/0!</v>
      </c>
      <c r="DZ25" s="92" t="e">
        <f>(CX25*80+ИНСТИТУТ!DM25*20)/100</f>
        <v>#DIV/0!</v>
      </c>
    </row>
    <row r="26" spans="1:130" ht="18" x14ac:dyDescent="0.25">
      <c r="A26" s="1090" t="str">
        <f>ИНСТИТУТ!A26</f>
        <v>Институт среднего профессионального образования</v>
      </c>
      <c r="B26" s="1091" t="s">
        <v>35</v>
      </c>
      <c r="C26" s="1090">
        <f t="array" ref="C26">SUM(IF(КАФЕДРА!$D$20:$D$75=$D26,КАФЕДРА!$C$20:$C$75,0))</f>
        <v>0</v>
      </c>
      <c r="D26" s="1090" t="str">
        <f t="shared" si="13"/>
        <v>СПО</v>
      </c>
      <c r="E26" s="1092" t="s">
        <v>16</v>
      </c>
      <c r="F26" s="1092" t="s">
        <v>16</v>
      </c>
      <c r="G26" s="1601">
        <f t="array" ref="G26">SUM(IF(КАФЕДРА!$D$20:$D$78=$D26,КАФЕДРА!G$20:G$78,0))</f>
        <v>0</v>
      </c>
      <c r="H26" s="1605">
        <f t="shared" si="0"/>
        <v>100</v>
      </c>
      <c r="I26" s="1601">
        <f t="array" ref="I26">SUM(IF(КАФЕДРА!$D$20:$D$78=$D26,КАФЕДРА!I$20:I$78,0))</f>
        <v>0</v>
      </c>
      <c r="J26" s="1605">
        <f t="shared" si="1"/>
        <v>100</v>
      </c>
      <c r="K26" s="1609">
        <f t="array" ref="K26">SUM(IF(КАФЕДРА!$D$20:$D$78=$D26,КАФЕДРА!K$20:K$78,0))</f>
        <v>0</v>
      </c>
      <c r="L26" s="1609">
        <f t="array" ref="L26">SUM(IF(КАФЕДРА!$D$20:$D$78=$D26,КАФЕДРА!L$20:L$78,0))</f>
        <v>0</v>
      </c>
      <c r="M26" s="1610" t="str">
        <f>IF((L26&gt;0),K26/L26*100,IF(K26&gt;0,100,нет))</f>
        <v>нет</v>
      </c>
      <c r="N26" s="1609">
        <f t="array" ref="N26">SUM(IF(КАФЕДРА!$D$20:$D$78=$D26,КАФЕДРА!N$20:N$78,0))</f>
        <v>0</v>
      </c>
      <c r="O26" s="1609">
        <f>SUM(IF(КАФЕДРА!$D$20:$D$78=$D26,КАФЕДРА!O$20:O$78,0))</f>
        <v>0</v>
      </c>
      <c r="P26" s="1612" t="str">
        <f>IF((O26&gt;0),N26/O26*100,IF(N26&gt;0,100,нет))</f>
        <v>нет</v>
      </c>
      <c r="Q26" s="1601">
        <f t="array" ref="Q26">SUM(IF(КАФЕДРА!$D$20:$D$78=$D26,КАФЕДРА!Q$20:Q$78,0))</f>
        <v>0</v>
      </c>
      <c r="R26" s="1600">
        <f t="shared" si="23"/>
        <v>100</v>
      </c>
      <c r="S26" s="1601">
        <f t="array" ref="S26">SUM(IF(КАФЕДРА!$D$20:$D$78=$D26,КАФЕДРА!S$20:S$78,0))</f>
        <v>0</v>
      </c>
      <c r="T26" s="1601">
        <f t="array" ref="T26">SUM(IF(КАФЕДРА!$D$20:$D$78=$D26,КАФЕДРА!T$20:T$78,0))</f>
        <v>0</v>
      </c>
      <c r="U26" s="1600" t="str">
        <f>IF(T26=0,"нет",S26/T26*100)</f>
        <v>нет</v>
      </c>
      <c r="V26" s="1601">
        <f>SUM(IF(КАФЕДРА!$D$20:$D$78=$D26,КАФЕДРА!V$20:V$78,0))</f>
        <v>0</v>
      </c>
      <c r="W26" s="1601">
        <f>SUM(IF(КАФЕДРА!$D$20:$D$78=$D26,КАФЕДРА!W$20:W$78,0))</f>
        <v>0</v>
      </c>
      <c r="X26" s="1600" t="str">
        <f>IF(W26=0,"нет",V26/W26*100)</f>
        <v>нет</v>
      </c>
      <c r="Y26" s="1601">
        <f t="array" ref="Y26">SUM(IF(КАФЕДРА!$D$20:$D$78=$D26,КАФЕДРА!Y$20:Y$78,0))</f>
        <v>0</v>
      </c>
      <c r="Z26" s="1601">
        <f t="array" ref="Z26">SUM(IF(КАФЕДРА!$D$20:$D$78=$D26,КАФЕДРА!Z$20:Z$78,0))</f>
        <v>0</v>
      </c>
      <c r="AA26" s="1600" t="str">
        <f>IF(Z26=0,"нет",Y26/Z26*100)</f>
        <v>нет</v>
      </c>
      <c r="AB26" s="1601">
        <f>SUM(IF(КАФЕДРА!$D$20:$D$78=$D26,КАФЕДРА!AB$20:AB$78,0))</f>
        <v>0</v>
      </c>
      <c r="AC26" s="1601">
        <f>SUM(IF(КАФЕДРА!$D$20:$D$78=$D26,КАФЕДРА!AC$20:AC$78,0))</f>
        <v>0</v>
      </c>
      <c r="AD26" s="1600" t="str">
        <f t="shared" si="27"/>
        <v>нет</v>
      </c>
      <c r="AE26" s="1601">
        <f t="array" ref="AE26">SUM(IF(КАФЕДРА!$D$20:$D$78=$D26,КАФЕДРА!AE$20:AE$78,0))</f>
        <v>0</v>
      </c>
      <c r="AF26" s="1601">
        <f t="array" ref="AF26">SUM(IF(КАФЕДРА!$D$20:$D$78=$D26,КАФЕДРА!AF$20:AF$78,0))</f>
        <v>0</v>
      </c>
      <c r="AG26" s="1600" t="str">
        <f>IF(AF26=0,"нет",AE26/AF26*100)</f>
        <v>нет</v>
      </c>
      <c r="AH26" s="1601">
        <f>SUM(IF(КАФЕДРА!$D$20:$D$78=$D26,КАФЕДРА!AH$20:AH$78,0))</f>
        <v>0</v>
      </c>
      <c r="AI26" s="1601">
        <f>SUM(IF(КАФЕДРА!$D$20:$D$78=$D26,КАФЕДРА!AI$20:AI$78,0))</f>
        <v>0</v>
      </c>
      <c r="AJ26" s="1600" t="str">
        <f t="shared" si="2"/>
        <v>нет</v>
      </c>
      <c r="AK26" s="1613">
        <f t="array" ref="AK26">SUM(IF(КАФЕДРА!$D$20:$D$78=$D26,КАФЕДРА!AK$20:AK$78,0))/SUM(IF(КАФЕДРА!$D$20:$D$78=$D26,1,0))</f>
        <v>0</v>
      </c>
      <c r="AL26" s="1613">
        <f t="array" ref="AL26">SUM(IF(КАФЕДРА!$D$20:$D$78=$D26,КАФЕДРА!AL$20:AL$78,0))/SUM(IF(КАФЕДРА!$D$20:$D$78=$D26,1,0))</f>
        <v>0</v>
      </c>
      <c r="AM26" s="1613">
        <f t="array" ref="AM26">SUM(IF(КАФЕДРА!$D$20:$D$78=$D26,КАФЕДРА!AM$20:AM$78,0))/SUM(IF(КАФЕДРА!$D$20:$D$78=$D26,1,0))</f>
        <v>0</v>
      </c>
      <c r="AN26" s="1617">
        <f t="array" ref="AN26">SUM(IF(AK26:AM26&gt;100,100,AK26:AM26))/3</f>
        <v>0</v>
      </c>
      <c r="AO26" s="1614">
        <f t="array" ref="AO26">SUM(IF(КАФЕДРА!$D$20:$D$78=$D26,КАФЕДРА!AO$20:AO$78,0))</f>
        <v>0</v>
      </c>
      <c r="AP26" s="1614">
        <f t="array" ref="AP26">SUM(IF(КАФЕДРА!$D$20:$D$78=$D26,КАФЕДРА!AP$20:AP$78,0))</f>
        <v>0</v>
      </c>
      <c r="AQ26" s="1006" t="str">
        <f>IF((AP26&gt;0),AO26/AP26*100,IF(AO26&gt;0,100,нет))</f>
        <v>нет</v>
      </c>
      <c r="AR26" s="1907">
        <f t="array" ref="AR26">SUM(IF(КАФЕДРА!$D$20:$D$78=$D26,КАФЕДРА!AR$20:AR$78,0))</f>
        <v>88000</v>
      </c>
      <c r="AS26" s="1907">
        <f t="array" ref="AS26">SUM(IF(КАФЕДРА!$D$20:$D$78=$D26,КАФЕДРА!AS$20:AS$78,0))</f>
        <v>88000</v>
      </c>
      <c r="AT26" s="1909" t="e">
        <f>IF(($E26="да"),IF(AR26=0,0,AR26/$C26),"нет")</f>
        <v>#DIV/0!</v>
      </c>
      <c r="AU26" s="1608">
        <f>IF(($E26="да"),IF(AS26=0,"нет",AR26/AS26*100),"нет")</f>
        <v>100</v>
      </c>
      <c r="AV26" s="1911">
        <f t="array" ref="AV26">SUM(IF(КАФЕДРА!$D$20:$D$75=$D26,КАФЕДРА!AV$20:AV$75,0))</f>
        <v>88000</v>
      </c>
      <c r="AW26" s="1911">
        <f t="array" ref="AW26">SUM(IF(КАФЕДРА!$D$20:$D$75=$D26,КАФЕДРА!AW$20:AW$75,0))</f>
        <v>0</v>
      </c>
      <c r="AX26" s="1911">
        <f t="array" ref="AX26">SUM(IF(КАФЕДРА!$D$20:$D$75=$D26,КАФЕДРА!AX$20:AX$75,0))</f>
        <v>0</v>
      </c>
      <c r="AY26" s="1911">
        <f t="array" ref="AY26">SUM(IF(КАФЕДРА!$D$20:$D$75=$D26,КАФЕДРА!AY$20:AY$75,0))</f>
        <v>0</v>
      </c>
      <c r="AZ26" s="1021" t="e">
        <f>(AV26+AW26)/$C26</f>
        <v>#DIV/0!</v>
      </c>
      <c r="BA26" s="1608" t="str">
        <f t="array" ref="BA26">IF(($E26="да"),IF($AX26=0,"нет",$AV26/$AX26*100-100),"нет")</f>
        <v>нет</v>
      </c>
      <c r="BB26" s="1608" t="str">
        <f t="array" ref="BB26">IF(($E26="да"),IF($AX26=0,"нет",$AV26/$AX26*100),"нет")</f>
        <v>нет</v>
      </c>
      <c r="BC26" s="1608">
        <f>IF(($E26="да"),IF(AS26&gt;0,AU26,нет),нет)</f>
        <v>100</v>
      </c>
      <c r="BD26" s="1095" t="e">
        <f t="array" ref="BD26">IF(($E26="да"),IF(AR26&gt;0,MAX($AZ26/$AZ$16*BD$16,IF(($BA26&gt;0)*ISNUMBER($BA26),$BB26/$BB$16*BD$16,0)),нет),нет)</f>
        <v>#DIV/0!</v>
      </c>
      <c r="BE26" s="1606">
        <f t="array" ref="BE26">SUM(IF(КАФЕДРА!$D$20:$D$75=$D26,КАФЕДРА!BE$20:BE$75,0))</f>
        <v>0</v>
      </c>
      <c r="BF26" s="1606">
        <f t="array" ref="BF26">SUM(IF(КАФЕДРА!$D$20:$D$75=$D26,КАФЕДРА!BF$20:BF$75,0))</f>
        <v>0</v>
      </c>
      <c r="BG26" s="1607">
        <f>IF(($E26="да"),IF(BE26=0,0,BE26/$C26),"нет")</f>
        <v>0</v>
      </c>
      <c r="BH26" s="1608" t="str">
        <f>IF(($E26="да"),IF(BF26=0,"нет",BE26/BF26*100),"нет")</f>
        <v>нет</v>
      </c>
      <c r="BI26" s="1095">
        <f t="array" ref="BI26">IF(($E26="да")+($F26="да"),IF((BF26+AS26)=0,"нет",(AR26+BE26)/(BF26+AS26)*100),"нет")</f>
        <v>100</v>
      </c>
      <c r="BJ26" s="1619">
        <f t="array" ref="BJ26">SUM(IF(КАФЕДРА!$D$20:$D$75=$D26,КАФЕДРА!BJ$20:BJ$75,0))</f>
        <v>0</v>
      </c>
      <c r="BK26" s="1621">
        <f t="array" ref="BK26">SUM(IF(КАФЕДРА!$D$20:$D$75=$D26,КАФЕДРА!BK$20:BK$75,0))</f>
        <v>0</v>
      </c>
      <c r="BL26" s="1621">
        <f t="array" ref="BL26">SUM(IF(КАФЕДРА!$D$20:$D$75=$D26,КАФЕДРА!BL$20:BL$75,0))</f>
        <v>0</v>
      </c>
      <c r="BM26" s="1628" t="str">
        <f t="shared" si="3"/>
        <v>нет</v>
      </c>
      <c r="BN26" s="1615">
        <f t="shared" si="14"/>
        <v>0</v>
      </c>
      <c r="BO26" s="1623">
        <f t="array" ref="BO26">SUM(IF(КАФЕДРА!$D$20:$D$75=$D26,КАФЕДРА!BO$20:BO$75,0))</f>
        <v>0</v>
      </c>
      <c r="BP26" s="1625" t="e">
        <f>BO26/BN26</f>
        <v>#DIV/0!</v>
      </c>
      <c r="BQ26" s="1630" t="e">
        <f t="shared" si="4"/>
        <v>#DIV/0!</v>
      </c>
      <c r="BR26" s="1623">
        <f t="array" ref="BR26">SUM(IF(КАФЕДРА!$D$20:$D$75=$D26,КАФЕДРА!BR$20:BR$75,0))</f>
        <v>0</v>
      </c>
      <c r="BS26" s="1623">
        <f t="array" ref="BS26">SUM(IF(КАФЕДРА!$D$20:$D$75=$D26,КАФЕДРА!BS$20:BS$75,0))</f>
        <v>0</v>
      </c>
      <c r="BT26" s="1627">
        <f t="shared" si="38"/>
        <v>0</v>
      </c>
      <c r="BU26" s="1632">
        <f t="shared" si="15"/>
        <v>100</v>
      </c>
      <c r="BV26" s="1623">
        <f t="array" ref="BV26">SUM(IF(КАФЕДРА!$D$20:$D$75=$D26,КАФЕДРА!BV$20:BV$75,0))</f>
        <v>0</v>
      </c>
      <c r="BW26" s="1623">
        <f t="array" ref="BW26">SUM(IF(КАФЕДРА!$D$20:$D$75=$D26,КАФЕДРА!BW$20:BW$75,0))</f>
        <v>0</v>
      </c>
      <c r="BX26" s="1630" t="str">
        <f t="shared" si="16"/>
        <v>нет</v>
      </c>
      <c r="BY26" s="1623">
        <f t="array" ref="BY26">SUM(IF(КАФЕДРА!$D$20:$D$75=$D26,КАФЕДРА!BY$20:BY$75,0))</f>
        <v>0</v>
      </c>
      <c r="BZ26" s="1623">
        <f t="array" ref="BZ26">SUM(IF(КАФЕДРА!$D$20:$D$75=$D26,КАФЕДРА!BZ$20:BZ$75,0))</f>
        <v>0</v>
      </c>
      <c r="CA26" s="1630" t="str">
        <f>IF(BZ26=0,"нет",BY26/BZ26*100)</f>
        <v>нет</v>
      </c>
      <c r="CC26" s="1096" t="str">
        <f>ИНСТИТУТ!CO26</f>
        <v>СПО</v>
      </c>
      <c r="CF26" s="1097" t="e">
        <f t="array" ref="CF26">SUM(IF($F26:$CA26=нет,0,IF($F26:$CA26&gt;=$F$16:$CA$16,$F$16:$CA$16,IF($F26:$CA26&lt;$F$17:$CA$17,0,$F26:$CA26)))*$F$11:$CA$11*($F$108:$CA$108=CF$4)/$F$16:$CA$16*($F$110:$CA$119*($B$110:$B$119=$B26)*($A$110:$A$119=$A$108)))</f>
        <v>#DIV/0!</v>
      </c>
      <c r="CG26" s="1097" t="e">
        <f t="array" ref="CG26">SUM(IF($F26:$CA26=нет,0,IF($F26:$CA26&gt;=$F$16:$CA$16,$F$16:$CA$16,IF($F26:$CA26&lt;$F$17:$CA$17,0,$F26:$CA26)))*$F$11:$CA$11*($F$108:$CA$108=CG$4)/$F$16:$CA$16*($F$110:$CA$119*($B$110:$B$119=$B26)*($A$110:$A$119=$A$108)))</f>
        <v>#DIV/0!</v>
      </c>
      <c r="CH26" s="1097" t="e">
        <f t="array" ref="CH26">SUM(IF($F26:$CA26=нет,0,IF($F26:$CA26&gt;=$F$16:$CA$16,$F$16:$CA$16,IF($F26:$CA26&lt;$F$17:$CA$17,0,$F26:$CA26)))*$F$11:$CA$11*($F$109:$CA$109=CH$4)/$F$16:$CA$16*($F$110:$CA$119*($B$110:$B$119=$B26)*($A$110:$A$119=$A$108)))</f>
        <v>#DIV/0!</v>
      </c>
      <c r="CI26" s="93">
        <v>0</v>
      </c>
      <c r="CJ26" s="1097" t="e">
        <f t="array" ref="CJ26">SUM(IF($F26:$CA26=нет,0,IF($F26:$CA26&gt;=$F$16:$CA$16,$F$16:$CA$16,IF($F26:$CA26&lt;$F$17:$CA$17,0,$F26:$CA26)))*$F$11:$CA$11*($F$108:$CA$108=CJ$4)/$F$16:$CA$16*($F$110:$CA$119*($B$110:$B$119=$B26)*($A$110:$A$119=$A$108)))</f>
        <v>#DIV/0!</v>
      </c>
      <c r="CK26" s="1097" t="e">
        <f t="array" ref="CK26">SUM(IF($F26:$CA26=нет,0,IF($F26:$CA26&gt;=$F$16:$CA$16,$F$16:$CA$16,IF($F26:$CA26&lt;$F$17:$CA$17,0,$F26:$CA26)))*$F$11:$CA$11*($F$108:$CA$108=CK$4)/$F$16:$CA$16*($F$110:$CA$119*($B$110:$B$119=$B26)*($A$110:$A$119=$A$108)))</f>
        <v>#DIV/0!</v>
      </c>
      <c r="CL26" s="1097" t="e">
        <f t="array" ref="CL26">SUM(IF($F26:$CA26=нет,0,IF($F26:$CA26&gt;=$F$16:$CA$16,$F$16:$CA$16,IF($F26:$CA26&lt;$F$17:$CA$17,0,$F26:$CA26)))*$F$11:$CA$11*($F$108:$CA$108=CL$4)/$F$16:$CA$16*($F$110:$CA$119*($B$110:$B$119=$B26)*($A$110:$A$119=$A$108)))</f>
        <v>#DIV/0!</v>
      </c>
      <c r="CN26" s="1106" t="e">
        <f t="array" ref="CN26">SUM(IF($F26:$CA26=нет,0,100)*$F$11:$CA$11*($F$108:$CA$108=CN$4)/100*($F$110:$CA$119*($B$110:$B$119=$B26)*($A$110:$A$119=$A$108)))</f>
        <v>#DIV/0!</v>
      </c>
      <c r="CO26" s="1106" t="e">
        <f t="array" ref="CO26">SUM(IF($F26:$CA26=нет,0,100)*$F$11:$CA$11*($F$108:$CA$108=CO$4)/100*($F$110:$CA$119*($B$110:$B$119=$B26)*($A$110:$A$119=$A$108)))</f>
        <v>#DIV/0!</v>
      </c>
      <c r="CP26" s="1106" t="e">
        <f t="array" ref="CP26">SUM(IF($F26:$CA26=нет,0,100)*$F$11:$CA$11*($F$109:$CA$109=CP$4)/100*($F$110:$CA$119*($B$110:$B$119=$B26)*($A$110:$A$119=$A$108)))</f>
        <v>#DIV/0!</v>
      </c>
      <c r="CQ26" s="1106">
        <f>IF(OR(ТИТУЛ!$B$22=2,ТИТУЛ!$B$22=4),23,0)</f>
        <v>23</v>
      </c>
      <c r="CR26" s="1106" t="e">
        <f t="array" ref="CR26">SUM(IF($F26:$CA26=нет,0,100)*$F$11:$CA$11*($F$108:$CA$108=CR$4)/100*($F$110:$CA$119*($B$110:$B$119=$B26)*($A$110:$A$119=$A$108)))</f>
        <v>#DIV/0!</v>
      </c>
      <c r="CS26" s="1106" t="e">
        <f t="array" ref="CS26">SUM(IF($F26:$CA26=нет,0,100)*$F$11:$CA$11*($F$108:$CA$108=CS$4)/100*($F$110:$CA$119*($B$110:$B$119=$B26)*($A$110:$A$119=$A$108)))</f>
        <v>#DIV/0!</v>
      </c>
      <c r="CT26" s="1106" t="e">
        <f t="array" ref="CT26">SUM(IF($F26:$CA26=нет,0,100)*$F$11:$CA$11*($F$108:$CA$108=CT$4)/100*($F$110:$CA$119*($B$110:$B$119=$B26)*($A$110:$A$119=$A$108)))</f>
        <v>#DIV/0!</v>
      </c>
      <c r="CV26" s="760" t="e">
        <f>SUM(CF26:CG26,CI26:CL26,'«ВУЗ-РЕГИОН»(кафедры)'!W26,' "Вуз зож" (кафедры)'!S26)</f>
        <v>#DIV/0!</v>
      </c>
      <c r="CW26" s="760" t="e">
        <f>SUM(CN26:CO26,CQ26:CT26,'«ВУЗ-РЕГИОН»(кафедры)'!X26,' "Вуз зож" (кафедры)'!T26)</f>
        <v>#DIV/0!</v>
      </c>
      <c r="CX26" s="759" t="e">
        <f>IF(CW26=0,0,CV26/CW26*100)</f>
        <v>#DIV/0!</v>
      </c>
      <c r="CZ26" s="760" t="e">
        <f>SUM(CH26:CJ26,CL26,'«ВУЗ-РЕГИОН»(кафедры)'!W26,' "Вуз зож" (кафедры)'!S26)</f>
        <v>#DIV/0!</v>
      </c>
      <c r="DA26" s="760" t="e">
        <f>SUM(CP26:CR26,CT26,'«ВУЗ-РЕГИОН»(кафедры)'!X26,' "Вуз зож" (кафедры)'!T26)</f>
        <v>#DIV/0!</v>
      </c>
      <c r="DB26" s="759" t="e">
        <f>IF(DA26=0,0,CZ26/DA26*100)</f>
        <v>#DIV/0!</v>
      </c>
      <c r="DD26" s="1098" t="e">
        <f t="shared" si="5"/>
        <v>#DIV/0!</v>
      </c>
      <c r="DE26" s="1098" t="e">
        <f t="shared" si="6"/>
        <v>#DIV/0!</v>
      </c>
      <c r="DF26" s="1098" t="e">
        <f t="shared" si="7"/>
        <v>#DIV/0!</v>
      </c>
      <c r="DG26" s="1098" t="str">
        <f t="shared" si="8"/>
        <v>0,0%
=0,0/23,0</v>
      </c>
      <c r="DH26" s="1098" t="e">
        <f t="shared" si="9"/>
        <v>#DIV/0!</v>
      </c>
      <c r="DI26" s="1098" t="e">
        <f t="shared" si="10"/>
        <v>#DIV/0!</v>
      </c>
      <c r="DJ26" s="1098" t="e">
        <f t="shared" si="11"/>
        <v>#DIV/0!</v>
      </c>
      <c r="DK26" s="92" t="str">
        <f t="shared" si="12"/>
        <v>Институт среднего профессионального образования</v>
      </c>
      <c r="DL26" s="31" t="str">
        <f t="shared" si="19"/>
        <v>СПО</v>
      </c>
      <c r="DM26" s="1098" t="e">
        <f>IF(CW26=0,0,TEXT(CV26/CW26*100,"0,0")&amp;"%
="&amp;TEXT(CV26,"0,0")&amp;"/"&amp;TEXT(CW26,"0,0"))</f>
        <v>#DIV/0!</v>
      </c>
      <c r="DO26" s="92" t="e">
        <f>((CF26/CN26)*80+(ИНСТИТУТ!CS26/ИНСТИТУТ!DB26)*20)/100</f>
        <v>#DIV/0!</v>
      </c>
      <c r="DP26" s="92" t="e">
        <f>((CG26/CO26)*80+(ИНСТИТУТ!CT26/ИНСТИТУТ!DC26)*20)/100</f>
        <v>#DIV/0!</v>
      </c>
      <c r="DQ26" s="92" t="e">
        <f>((CH26/CP26)*80+(ИНСТИТУТ!CU26/ИНСТИТУТ!DD26)*20)/100</f>
        <v>#DIV/0!</v>
      </c>
      <c r="DR26" s="92" t="e">
        <f>((CI26/CQ26)*80+(ИНСТИТУТ!CV26/ИНСТИТУТ!DE26)*20)/100</f>
        <v>#DIV/0!</v>
      </c>
      <c r="DS26" s="92" t="e">
        <f>((CJ26/CR26)*80+(ИНСТИТУТ!CW26/ИНСТИТУТ!DF26)*20)/100</f>
        <v>#DIV/0!</v>
      </c>
      <c r="DT26" s="92" t="e">
        <f>((CK26/CS26)*80+(ИНСТИТУТ!CY26/ИНСТИТУТ!DH26)*20)/100</f>
        <v>#DIV/0!</v>
      </c>
      <c r="DU26" s="92" t="e">
        <f>((CL26/CT26)*80+(ИНСТИТУТ!CZ26/ИНСТИТУТ!DI26)*20)/100</f>
        <v>#DIV/0!</v>
      </c>
      <c r="DZ26" s="92" t="e">
        <f>(CX26*80+ИНСТИТУТ!DM26*20)/100</f>
        <v>#DIV/0!</v>
      </c>
    </row>
    <row r="27" spans="1:130" s="131" customFormat="1" ht="18" x14ac:dyDescent="0.25">
      <c r="A27" s="139" t="str">
        <f>ИНСТИТУТ!A27</f>
        <v>Факультет иностранных студентов</v>
      </c>
      <c r="B27" s="97" t="s">
        <v>35</v>
      </c>
      <c r="C27" s="139">
        <f t="array" ref="C27">SUM(IF(КАФЕДРА!$D$20:$D$75=$D27,КАФЕДРА!$C$20:$C$75,0))</f>
        <v>0</v>
      </c>
      <c r="D27" s="139" t="str">
        <f t="shared" si="13"/>
        <v>ФИС</v>
      </c>
      <c r="E27" s="157" t="s">
        <v>16</v>
      </c>
      <c r="F27" s="157" t="s">
        <v>16</v>
      </c>
      <c r="G27" s="1601">
        <f>SUM(IF(КАФЕДРА!$D$20:$D$78=$D27,КАФЕДРА!G$20:G$78,0))</f>
        <v>0</v>
      </c>
      <c r="H27" s="1600">
        <f t="shared" si="0"/>
        <v>100</v>
      </c>
      <c r="I27" s="1601">
        <f>SUM(IF(КАФЕДРА!$D$20:$D$78=$D27,КАФЕДРА!I$20:I$78,0))</f>
        <v>0</v>
      </c>
      <c r="J27" s="1600">
        <f t="shared" si="1"/>
        <v>100</v>
      </c>
      <c r="K27" s="1609">
        <f t="array" ref="K27">SUM(IF(КАФЕДРА!$D$20:$D$78=$D27,КАФЕДРА!K$20:K$78,0))</f>
        <v>0</v>
      </c>
      <c r="L27" s="1609">
        <f t="array" ref="L27">SUM(IF(КАФЕДРА!$D$20:$D$78=$D27,КАФЕДРА!L$20:L$78,0))</f>
        <v>0</v>
      </c>
      <c r="M27" s="1610" t="str">
        <f t="shared" si="21"/>
        <v>нет</v>
      </c>
      <c r="N27" s="1609">
        <f t="array" ref="N27">SUM(IF(КАФЕДРА!$D$20:$D$78=$D27,КАФЕДРА!N$20:N$78,0))</f>
        <v>0</v>
      </c>
      <c r="O27" s="1609">
        <f>SUM(IF(КАФЕДРА!$D$20:$D$78=$D27,КАФЕДРА!O$20:O$78,0))</f>
        <v>0</v>
      </c>
      <c r="P27" s="1611" t="str">
        <f t="shared" si="22"/>
        <v>нет</v>
      </c>
      <c r="Q27" s="1601">
        <f t="array" ref="Q27">SUM(IF(КАФЕДРА!$D$20:$D$78=$D27,КАФЕДРА!Q$20:Q$78,0))</f>
        <v>0</v>
      </c>
      <c r="R27" s="1600">
        <f t="shared" si="23"/>
        <v>100</v>
      </c>
      <c r="S27" s="1601">
        <f t="array" ref="S27">SUM(IF(КАФЕДРА!$D$20:$D$78=$D27,КАФЕДРА!S$20:S$78,0))</f>
        <v>0</v>
      </c>
      <c r="T27" s="1601">
        <f>SUM(IF(КАФЕДРА!$D$20:$D$78=$D27,КАФЕДРА!T$20:T$78,0))</f>
        <v>0</v>
      </c>
      <c r="U27" s="1600" t="str">
        <f t="shared" si="24"/>
        <v>нет</v>
      </c>
      <c r="V27" s="1601">
        <f>SUM(IF(КАФЕДРА!$D$20:$D$78=$D27,КАФЕДРА!V$20:V$78,0))</f>
        <v>0</v>
      </c>
      <c r="W27" s="1601">
        <f>SUM(IF(КАФЕДРА!$D$20:$D$78=$D27,КАФЕДРА!W$20:W$78,0))</f>
        <v>0</v>
      </c>
      <c r="X27" s="1600" t="str">
        <f t="shared" si="25"/>
        <v>нет</v>
      </c>
      <c r="Y27" s="1601">
        <f t="array" ref="Y27">SUM(IF(КАФЕДРА!$D$20:$D$78=$D27,КАФЕДРА!Y$20:Y$78,0))</f>
        <v>0</v>
      </c>
      <c r="Z27" s="1601">
        <f t="array" ref="Z27">SUM(IF(КАФЕДРА!$D$20:$D$78=$D27,КАФЕДРА!Z$20:Z$78,0))</f>
        <v>0</v>
      </c>
      <c r="AA27" s="1600" t="str">
        <f t="shared" si="26"/>
        <v>нет</v>
      </c>
      <c r="AB27" s="1601">
        <f>SUM(IF(КАФЕДРА!$D$20:$D$78=$D27,КАФЕДРА!AB$20:AB$78,0))</f>
        <v>0</v>
      </c>
      <c r="AC27" s="1601">
        <f>SUM(IF(КАФЕДРА!$D$20:$D$78=$D27,КАФЕДРА!AC$20:AC$78,0))</f>
        <v>0</v>
      </c>
      <c r="AD27" s="1600" t="str">
        <f t="shared" si="27"/>
        <v>нет</v>
      </c>
      <c r="AE27" s="1601">
        <f t="array" ref="AE27">SUM(IF(КАФЕДРА!$D$20:$D$78=$D27,КАФЕДРА!AE$20:AE$78,0))</f>
        <v>0</v>
      </c>
      <c r="AF27" s="1601">
        <f t="array" ref="AF27">SUM(IF(КАФЕДРА!$D$20:$D$78=$D27,КАФЕДРА!AF$20:AF$78,0))</f>
        <v>0</v>
      </c>
      <c r="AG27" s="1600" t="str">
        <f t="shared" si="28"/>
        <v>нет</v>
      </c>
      <c r="AH27" s="1601">
        <f>SUM(IF(КАФЕДРА!$D$20:$D$78=$D27,КАФЕДРА!AH$20:AH$78,0))</f>
        <v>0</v>
      </c>
      <c r="AI27" s="1601">
        <f>SUM(IF(КАФЕДРА!$D$20:$D$78=$D27,КАФЕДРА!AI$20:AI$78,0))</f>
        <v>0</v>
      </c>
      <c r="AJ27" s="1600" t="str">
        <f t="shared" si="2"/>
        <v>нет</v>
      </c>
      <c r="AK27" s="1613">
        <f t="array" ref="AK27">SUM(IF(КАФЕДРА!$D$20:$D$78=$D27,КАФЕДРА!AK$20:AK$78,0))/SUM(IF(КАФЕДРА!$D$20:$D$78=$D27,1,0))</f>
        <v>0</v>
      </c>
      <c r="AL27" s="1613">
        <f t="array" ref="AL27">SUM(IF(КАФЕДРА!$D$20:$D$78=$D27,КАФЕДРА!AL$20:AL$78,0))/SUM(IF(КАФЕДРА!$D$20:$D$78=$D27,1,0))</f>
        <v>0</v>
      </c>
      <c r="AM27" s="1613">
        <f t="array" ref="AM27">SUM(IF(КАФЕДРА!$D$20:$D$78=$D27,КАФЕДРА!AM$20:AM$78,0))/SUM(IF(КАФЕДРА!$D$20:$D$78=$D27,1,0))</f>
        <v>0</v>
      </c>
      <c r="AN27" s="1616">
        <f t="array" ref="AN27">SUM(IF(AK27:AM27&gt;100,100,AK27:AM27))/3</f>
        <v>0</v>
      </c>
      <c r="AO27" s="1614">
        <f t="array" ref="AO27">SUM(IF(КАФЕДРА!$D$20:$D$78=$D27,КАФЕДРА!AO$20:AO$78,0))</f>
        <v>0</v>
      </c>
      <c r="AP27" s="1614">
        <f t="array" ref="AP27">SUM(IF(КАФЕДРА!$D$20:$D$78=$D27,КАФЕДРА!AP$20:AP$78,0))</f>
        <v>0</v>
      </c>
      <c r="AQ27" s="342" t="str">
        <f t="shared" si="29"/>
        <v>нет</v>
      </c>
      <c r="AR27" s="1907">
        <f t="array" ref="AR27">SUM(IF(КАФЕДРА!$D$20:$D$78=$D27,КАФЕДРА!AR$20:AR$78,0))</f>
        <v>0</v>
      </c>
      <c r="AS27" s="1907">
        <f t="array" ref="AS27">SUM(IF(КАФЕДРА!$D$20:$D$78=$D27,КАФЕДРА!AS$20:AS$78,0))</f>
        <v>0</v>
      </c>
      <c r="AT27" s="1908">
        <f t="shared" si="30"/>
        <v>0</v>
      </c>
      <c r="AU27" s="1604" t="str">
        <f t="shared" si="31"/>
        <v>нет</v>
      </c>
      <c r="AV27" s="1907">
        <f t="array" ref="AV27">SUM(IF(КАФЕДРА!$D$20:$D$75=$D27,КАФЕДРА!AV$20:AV$75,0))</f>
        <v>0</v>
      </c>
      <c r="AW27" s="1907">
        <f t="array" ref="AW27">SUM(IF(КАФЕДРА!$D$20:$D$75=$D27,КАФЕДРА!AW$20:AW$75,0))</f>
        <v>224600</v>
      </c>
      <c r="AX27" s="1907">
        <f t="array" ref="AX27">SUM(IF(КАФЕДРА!$D$20:$D$75=$D27,КАФЕДРА!AX$20:AX$75,0))</f>
        <v>0</v>
      </c>
      <c r="AY27" s="1907">
        <f t="array" ref="AY27">SUM(IF(КАФЕДРА!$D$20:$D$75=$D27,КАФЕДРА!AY$20:AY$75,0))</f>
        <v>311900</v>
      </c>
      <c r="AZ27" s="510" t="e">
        <f t="shared" si="32"/>
        <v>#DIV/0!</v>
      </c>
      <c r="BA27" s="1604" t="str">
        <f t="array" ref="BA27">IF(($E27="да"),IF($AX27=0,"нет",$AV27/$AX27*100-100),"нет")</f>
        <v>нет</v>
      </c>
      <c r="BB27" s="1604" t="str">
        <f t="array" ref="BB27">IF(($E27="да"),IF($AX27=0,"нет",$AV27/$AX27*100),"нет")</f>
        <v>нет</v>
      </c>
      <c r="BC27" s="1604" t="str">
        <f t="shared" si="33"/>
        <v>нет</v>
      </c>
      <c r="BD27" s="331" t="str">
        <f t="array" ref="BD27">IF(($E27="да"),IF(AR27&gt;0,MAX($AZ27/$AZ$16*BD$16,IF(($BA27&gt;0)*ISNUMBER($BA27),$BB27/$BB$16*BD$16,0)),нет),нет)</f>
        <v>нет</v>
      </c>
      <c r="BE27" s="1602">
        <f t="array" ref="BE27">SUM(IF(КАФЕДРА!$D$20:$D$75=$D27,КАФЕДРА!BE$20:BE$75,0))</f>
        <v>224600</v>
      </c>
      <c r="BF27" s="1602">
        <f t="array" ref="BF27">SUM(IF(КАФЕДРА!$D$20:$D$75=$D27,КАФЕДРА!BF$20:BF$75,0))</f>
        <v>224600</v>
      </c>
      <c r="BG27" s="1603" t="e">
        <f t="shared" si="34"/>
        <v>#DIV/0!</v>
      </c>
      <c r="BH27" s="1604">
        <f t="shared" si="35"/>
        <v>100</v>
      </c>
      <c r="BI27" s="331">
        <f t="array" ref="BI27">IF(($E27="да")+($F27="да"),IF((BF27+AS27)=0,"нет",(AR27+BE27)/(BF27+AS27)*100),"нет")</f>
        <v>100</v>
      </c>
      <c r="BJ27" s="1618">
        <f t="array" ref="BJ27">SUM(IF(КАФЕДРА!$D$20:$D$75=$D27,КАФЕДРА!BJ$20:BJ$75,0))</f>
        <v>0</v>
      </c>
      <c r="BK27" s="1620">
        <f t="array" ref="BK27">SUM(IF(КАФЕДРА!$D$20:$D$75=$D27,КАФЕДРА!BK$20:BK$75,0))</f>
        <v>0</v>
      </c>
      <c r="BL27" s="1620">
        <f t="array" ref="BL27">SUM(IF(КАФЕДРА!$D$20:$D$75=$D27,КАФЕДРА!BL$20:BL$75,0))</f>
        <v>0</v>
      </c>
      <c r="BM27" s="1628" t="str">
        <f t="shared" si="3"/>
        <v>нет</v>
      </c>
      <c r="BN27" s="1614">
        <f t="shared" si="14"/>
        <v>0</v>
      </c>
      <c r="BO27" s="1622">
        <f t="array" ref="BO27">SUM(IF(КАФЕДРА!$D$20:$D$75=$D27,КАФЕДРА!BO$20:BO$75,0))</f>
        <v>0</v>
      </c>
      <c r="BP27" s="1624" t="e">
        <f t="shared" si="36"/>
        <v>#DIV/0!</v>
      </c>
      <c r="BQ27" s="1629" t="e">
        <f t="shared" si="4"/>
        <v>#DIV/0!</v>
      </c>
      <c r="BR27" s="1622">
        <f t="array" ref="BR27">SUM(IF(КАФЕДРА!$D$20:$D$75=$D27,КАФЕДРА!BR$20:BR$75,0))</f>
        <v>0</v>
      </c>
      <c r="BS27" s="1622">
        <f t="array" ref="BS27">SUM(IF(КАФЕДРА!$D$20:$D$75=$D27,КАФЕДРА!BS$20:BS$75,0))</f>
        <v>0</v>
      </c>
      <c r="BT27" s="1626">
        <f t="shared" si="38"/>
        <v>0</v>
      </c>
      <c r="BU27" s="1631">
        <f t="shared" si="15"/>
        <v>100</v>
      </c>
      <c r="BV27" s="1622">
        <f t="array" ref="BV27">SUM(IF(КАФЕДРА!$D$20:$D$75=$D27,КАФЕДРА!BV$20:BV$75,0))</f>
        <v>0</v>
      </c>
      <c r="BW27" s="1622">
        <f t="array" ref="BW27">SUM(IF(КАФЕДРА!$D$20:$D$75=$D27,КАФЕДРА!BW$20:BW$75,0))</f>
        <v>0</v>
      </c>
      <c r="BX27" s="1629" t="str">
        <f t="shared" si="16"/>
        <v>нет</v>
      </c>
      <c r="BY27" s="1622">
        <f t="array" ref="BY27">SUM(IF(КАФЕДРА!$D$20:$D$75=$D27,КАФЕДРА!BY$20:BY$75,0))</f>
        <v>0</v>
      </c>
      <c r="BZ27" s="1622">
        <f t="array" ref="BZ27">SUM(IF(КАФЕДРА!$D$20:$D$75=$D27,КАФЕДРА!BZ$20:BZ$75,0))</f>
        <v>0</v>
      </c>
      <c r="CA27" s="1629" t="str">
        <f t="shared" si="37"/>
        <v>нет</v>
      </c>
      <c r="CC27" s="1104" t="str">
        <f>ИНСТИТУТ!CO27</f>
        <v>ФИС</v>
      </c>
      <c r="CD27" s="33"/>
      <c r="CE27" s="31"/>
      <c r="CF27" s="93" t="e">
        <f t="array" ref="CF27">SUM(IF($F27:$CA27=нет,0,IF($F27:$CA27&gt;=$F$16:$CA$16,$F$16:$CA$16,IF($F27:$CA27&lt;$F$17:$CA$17,0,$F27:$CA27)))*$F$11:$CA$11*($F$108:$CA$108=CF$4)/$F$16:$CA$16*($F$110:$CA$119*($B$110:$B$119=$B27)*($A$110:$A$119=$A$108)))</f>
        <v>#DIV/0!</v>
      </c>
      <c r="CG27" s="93" t="e">
        <f t="array" ref="CG27">SUM(IF($F27:$CA27=нет,0,IF($F27:$CA27&gt;=$F$16:$CA$16,$F$16:$CA$16,IF($F27:$CA27&lt;$F$17:$CA$17,0,$F27:$CA27)))*$F$11:$CA$11*($F$108:$CA$108=CG$4)/$F$16:$CA$16*($F$110:$CA$119*($B$110:$B$119=$B27)*($A$110:$A$119=$A$108)))</f>
        <v>#DIV/0!</v>
      </c>
      <c r="CH27" s="93" t="e">
        <f t="array" ref="CH27">SUM(IF($F27:$CA27=нет,0,IF($F27:$CA27&gt;=$F$16:$CA$16,$F$16:$CA$16,IF($F27:$CA27&lt;$F$17:$CA$17,0,$F27:$CA27)))*$F$11:$CA$11*($F$109:$CA$109=CH$4)/$F$16:$CA$16*($F$110:$CA$119*($B$110:$B$119=$B27)*($A$110:$A$119=$A$108)))</f>
        <v>#DIV/0!</v>
      </c>
      <c r="CI27" s="93">
        <v>0</v>
      </c>
      <c r="CJ27" s="93" t="e">
        <f t="array" ref="CJ27">SUM(IF($F27:$CA27=нет,0,IF($F27:$CA27&gt;=$F$16:$CA$16,$F$16:$CA$16,IF($F27:$CA27&lt;$F$17:$CA$17,0,$F27:$CA27)))*$F$11:$CA$11*($F$108:$CA$108=CJ$4)/$F$16:$CA$16*($F$110:$CA$119*($B$110:$B$119=$B27)*($A$110:$A$119=$A$108)))</f>
        <v>#DIV/0!</v>
      </c>
      <c r="CK27" s="93" t="e">
        <f t="array" ref="CK27">SUM(IF($F27:$CA27=нет,0,IF($F27:$CA27&gt;=$F$16:$CA$16,$F$16:$CA$16,IF($F27:$CA27&lt;$F$17:$CA$17,0,$F27:$CA27)))*$F$11:$CA$11*($F$108:$CA$108=CK$4)/$F$16:$CA$16*($F$110:$CA$119*($B$110:$B$119=$B27)*($A$110:$A$119=$A$108)))</f>
        <v>#DIV/0!</v>
      </c>
      <c r="CL27" s="93" t="e">
        <f t="array" ref="CL27">SUM(IF($F27:$CA27=нет,0,IF($F27:$CA27&gt;=$F$16:$CA$16,$F$16:$CA$16,IF($F27:$CA27&lt;$F$17:$CA$17,0,$F27:$CA27)))*$F$11:$CA$11*($F$108:$CA$108=CL$4)/$F$16:$CA$16*($F$110:$CA$119*($B$110:$B$119=$B27)*($A$110:$A$119=$A$108)))</f>
        <v>#DIV/0!</v>
      </c>
      <c r="CM27" s="31"/>
      <c r="CN27" s="1106" t="e">
        <f t="array" ref="CN27">SUM(IF($F27:$CA27=нет,0,100)*$F$11:$CA$11*($F$108:$CA$108=CN$4)/100*($F$110:$CA$119*($B$110:$B$119=$B27)*($A$110:$A$119=$A$108)))</f>
        <v>#DIV/0!</v>
      </c>
      <c r="CO27" s="1106" t="e">
        <f t="array" ref="CO27">SUM(IF($F27:$CA27=нет,0,100)*$F$11:$CA$11*($F$108:$CA$108=CO$4)/100*($F$110:$CA$119*($B$110:$B$119=$B27)*($A$110:$A$119=$A$108)))</f>
        <v>#DIV/0!</v>
      </c>
      <c r="CP27" s="1106" t="e">
        <f t="array" ref="CP27">SUM(IF($F27:$CA27=нет,0,100)*$F$11:$CA$11*($F$109:$CA$109=CP$4)/100*($F$110:$CA$119*($B$110:$B$119=$B27)*($A$110:$A$119=$A$108)))</f>
        <v>#DIV/0!</v>
      </c>
      <c r="CQ27" s="1106">
        <f>IF(OR(ТИТУЛ!$B$22=2,ТИТУЛ!$B$22=4),23,0)</f>
        <v>23</v>
      </c>
      <c r="CR27" s="1106" t="e">
        <f t="array" ref="CR27">SUM(IF($F27:$CA27=нет,0,100)*$F$11:$CA$11*($F$108:$CA$108=CR$4)/100*($F$110:$CA$119*($B$110:$B$119=$B27)*($A$110:$A$119=$A$108)))</f>
        <v>#DIV/0!</v>
      </c>
      <c r="CS27" s="1106" t="e">
        <f t="array" ref="CS27">SUM(IF($F27:$CA27=нет,0,100)*$F$11:$CA$11*($F$108:$CA$108=CS$4)/100*($F$110:$CA$119*($B$110:$B$119=$B27)*($A$110:$A$119=$A$108)))</f>
        <v>#DIV/0!</v>
      </c>
      <c r="CT27" s="1106" t="e">
        <f t="array" ref="CT27">SUM(IF($F27:$CA27=нет,0,100)*$F$11:$CA$11*($F$108:$CA$108=CT$4)/100*($F$110:$CA$119*($B$110:$B$119=$B27)*($A$110:$A$119=$A$108)))</f>
        <v>#DIV/0!</v>
      </c>
      <c r="CU27" s="31"/>
      <c r="CV27" s="760" t="e">
        <f>SUM(CF27:CG27,CI27:CL27,'«ВУЗ-РЕГИОН»(кафедры)'!W27,' "Вуз зож" (кафедры)'!S27)</f>
        <v>#DIV/0!</v>
      </c>
      <c r="CW27" s="760" t="e">
        <f>SUM(CN27:CO27,CQ27:CT27,'«ВУЗ-РЕГИОН»(кафедры)'!X27,' "Вуз зож" (кафедры)'!T27)</f>
        <v>#DIV/0!</v>
      </c>
      <c r="CX27" s="759" t="e">
        <f>IF(CW27=0,0,CV27/CW27*100)</f>
        <v>#DIV/0!</v>
      </c>
      <c r="CY27" s="31"/>
      <c r="CZ27" s="760" t="e">
        <f>SUM(CH27:CJ27,CL27,'«ВУЗ-РЕГИОН»(кафедры)'!W27,' "Вуз зож" (кафедры)'!S27)</f>
        <v>#DIV/0!</v>
      </c>
      <c r="DA27" s="760" t="e">
        <f>SUM(CP27:CR27,CT27,'«ВУЗ-РЕГИОН»(кафедры)'!X27,' "Вуз зож" (кафедры)'!T27)</f>
        <v>#DIV/0!</v>
      </c>
      <c r="DB27" s="759" t="e">
        <f>IF(DA27=0,0,CZ27/DA27*100)</f>
        <v>#DIV/0!</v>
      </c>
      <c r="DC27" s="33"/>
      <c r="DD27" s="168" t="e">
        <f t="shared" si="5"/>
        <v>#DIV/0!</v>
      </c>
      <c r="DE27" s="168" t="e">
        <f t="shared" si="6"/>
        <v>#DIV/0!</v>
      </c>
      <c r="DF27" s="168" t="e">
        <f t="shared" si="7"/>
        <v>#DIV/0!</v>
      </c>
      <c r="DG27" s="168" t="str">
        <f t="shared" si="8"/>
        <v>0,0%
=0,0/23,0</v>
      </c>
      <c r="DH27" s="168" t="e">
        <f t="shared" si="9"/>
        <v>#DIV/0!</v>
      </c>
      <c r="DI27" s="168" t="e">
        <f t="shared" si="10"/>
        <v>#DIV/0!</v>
      </c>
      <c r="DJ27" s="168" t="e">
        <f t="shared" si="11"/>
        <v>#DIV/0!</v>
      </c>
      <c r="DK27" s="88" t="str">
        <f t="shared" si="12"/>
        <v>Факультет иностранных студентов</v>
      </c>
      <c r="DL27" s="131" t="str">
        <f t="shared" si="19"/>
        <v>ФИС</v>
      </c>
      <c r="DM27" s="168" t="e">
        <f>IF(CW27=0,0,TEXT(CV27/CW27*100,"0,0")&amp;"%
="&amp;TEXT(CV27,"0,0")&amp;"/"&amp;TEXT(CW27,"0,0"))</f>
        <v>#DIV/0!</v>
      </c>
      <c r="DO27" s="88" t="e">
        <f>((CF27/CN27)*80+(ИНСТИТУТ!CS27/ИНСТИТУТ!DB27)*20)/100</f>
        <v>#DIV/0!</v>
      </c>
      <c r="DP27" s="88" t="e">
        <f>((CG27/CO27)*80+(ИНСТИТУТ!CT27/ИНСТИТУТ!DC27)*20)/100</f>
        <v>#DIV/0!</v>
      </c>
      <c r="DQ27" s="88" t="e">
        <f>((CH27/CP27)*80+(ИНСТИТУТ!CU27/ИНСТИТУТ!DD27)*20)/100</f>
        <v>#DIV/0!</v>
      </c>
      <c r="DR27" s="88" t="e">
        <f>((CI27/CQ27)*80+(ИНСТИТУТ!CV27/ИНСТИТУТ!DE27)*20)/100</f>
        <v>#DIV/0!</v>
      </c>
      <c r="DS27" s="88" t="e">
        <f>((CJ27/CR27)*80+(ИНСТИТУТ!CW27/ИНСТИТУТ!DF27)*20)/100</f>
        <v>#DIV/0!</v>
      </c>
      <c r="DT27" s="88" t="e">
        <f>((CK27/CS27)*80+(ИНСТИТУТ!CY27/ИНСТИТУТ!DH27)*20)/100</f>
        <v>#DIV/0!</v>
      </c>
      <c r="DU27" s="88" t="e">
        <f>((CL27/CT27)*80+(ИНСТИТУТ!CZ27/ИНСТИТУТ!DI27)*20)/100</f>
        <v>#DIV/0!</v>
      </c>
      <c r="DZ27" s="88" t="e">
        <f>(CX27*80+ИНСТИТУТ!DM27*20)/100</f>
        <v>#DIV/0!</v>
      </c>
    </row>
    <row r="28" spans="1:130" s="146" customFormat="1" ht="18" x14ac:dyDescent="0.25">
      <c r="E28" s="1099"/>
      <c r="H28" s="1100"/>
      <c r="I28" s="1100"/>
      <c r="J28" s="1100"/>
      <c r="K28" s="1101"/>
      <c r="L28" s="1101"/>
      <c r="M28" s="1100"/>
      <c r="N28" s="1101"/>
      <c r="O28" s="1101"/>
      <c r="P28" s="1100"/>
      <c r="Q28" s="1100"/>
      <c r="R28" s="1100"/>
      <c r="U28" s="1100"/>
      <c r="X28" s="1100"/>
      <c r="AA28" s="1100"/>
      <c r="AB28" s="1100"/>
      <c r="AC28" s="1100"/>
      <c r="AD28" s="1100"/>
      <c r="AE28" s="1101"/>
      <c r="AF28" s="1102"/>
      <c r="AG28" s="1100"/>
      <c r="AJ28" s="1100"/>
      <c r="AN28" s="1100"/>
      <c r="AO28" s="1101"/>
      <c r="AP28" s="1101"/>
      <c r="AQ28" s="1100"/>
      <c r="AR28" s="149"/>
      <c r="AS28" s="149"/>
      <c r="AT28" s="149"/>
      <c r="AU28" s="1100"/>
      <c r="AV28" s="149"/>
      <c r="AW28" s="149"/>
      <c r="AX28" s="149"/>
      <c r="AY28" s="149"/>
      <c r="AZ28" s="149"/>
      <c r="BA28" s="1100"/>
      <c r="BB28" s="1100"/>
      <c r="BC28" s="1100"/>
      <c r="BD28" s="1100"/>
      <c r="BE28" s="149"/>
      <c r="BF28" s="149"/>
      <c r="BG28" s="149"/>
      <c r="BH28" s="1100"/>
      <c r="BI28" s="1100"/>
      <c r="BJ28" s="149"/>
      <c r="BK28" s="149"/>
      <c r="BL28" s="149"/>
      <c r="BM28" s="1100"/>
      <c r="BN28" s="1101"/>
      <c r="BO28" s="1089"/>
      <c r="BP28" s="1089"/>
      <c r="BQ28" s="1087"/>
      <c r="BR28" s="1087"/>
      <c r="BS28" s="1087"/>
      <c r="BT28" s="1087"/>
      <c r="BU28" s="1087"/>
      <c r="BV28" s="1087"/>
      <c r="BW28" s="1087"/>
      <c r="BX28" s="1087"/>
      <c r="BY28" s="1089"/>
      <c r="BZ28" s="1089"/>
      <c r="CA28" s="1087"/>
      <c r="CD28" s="33"/>
      <c r="CE28" s="31"/>
      <c r="CF28" s="1088"/>
      <c r="CG28" s="1088"/>
      <c r="CH28" s="1088"/>
      <c r="CI28" s="1088"/>
      <c r="CJ28" s="1088"/>
      <c r="CK28" s="1088"/>
      <c r="CL28" s="1088"/>
      <c r="CM28" s="31"/>
      <c r="CN28" s="149"/>
      <c r="CO28" s="149"/>
      <c r="CP28" s="149"/>
      <c r="CQ28" s="149"/>
      <c r="CR28" s="149"/>
      <c r="CS28" s="149"/>
      <c r="CT28" s="149"/>
      <c r="CU28" s="31"/>
      <c r="CV28" s="1089"/>
      <c r="CW28" s="1089"/>
      <c r="CX28" s="1087"/>
      <c r="CY28" s="31"/>
      <c r="CZ28" s="1089"/>
      <c r="DA28" s="1089"/>
      <c r="DB28" s="1087"/>
      <c r="DC28" s="33"/>
      <c r="DE28" s="149"/>
      <c r="DF28" s="149"/>
      <c r="DG28" s="149"/>
      <c r="DH28" s="149"/>
      <c r="DI28" s="149"/>
      <c r="DJ28" s="149"/>
      <c r="DM28" s="1103">
        <f t="shared" si="20"/>
        <v>0</v>
      </c>
    </row>
    <row r="29" spans="1:130" s="146" customFormat="1" ht="18" x14ac:dyDescent="0.25">
      <c r="E29" s="1099"/>
      <c r="H29" s="1100"/>
      <c r="I29" s="1100"/>
      <c r="J29" s="1100"/>
      <c r="K29" s="1101"/>
      <c r="L29" s="1101"/>
      <c r="M29" s="1100"/>
      <c r="N29" s="1101"/>
      <c r="O29" s="1101"/>
      <c r="P29" s="1100"/>
      <c r="Q29" s="1100"/>
      <c r="R29" s="1100"/>
      <c r="U29" s="1100"/>
      <c r="X29" s="1100"/>
      <c r="AA29" s="1100"/>
      <c r="AB29" s="1100"/>
      <c r="AC29" s="1100"/>
      <c r="AD29" s="1100"/>
      <c r="AE29" s="1101"/>
      <c r="AF29" s="1102"/>
      <c r="AG29" s="1100"/>
      <c r="AJ29" s="1100"/>
      <c r="AN29" s="1100"/>
      <c r="AO29" s="1101"/>
      <c r="AP29" s="1101"/>
      <c r="AQ29" s="1100"/>
      <c r="AR29" s="149"/>
      <c r="AS29" s="149"/>
      <c r="AT29" s="149"/>
      <c r="AU29" s="1100"/>
      <c r="AV29" s="149"/>
      <c r="AW29" s="149"/>
      <c r="AX29" s="149"/>
      <c r="AY29" s="149"/>
      <c r="AZ29" s="149"/>
      <c r="BA29" s="1100"/>
      <c r="BB29" s="1100"/>
      <c r="BC29" s="1100"/>
      <c r="BD29" s="1100"/>
      <c r="BE29" s="149"/>
      <c r="BF29" s="149"/>
      <c r="BG29" s="149"/>
      <c r="BH29" s="1100"/>
      <c r="BI29" s="1100"/>
      <c r="BJ29" s="149"/>
      <c r="BK29" s="149"/>
      <c r="BL29" s="149"/>
      <c r="BM29" s="1100"/>
      <c r="BN29" s="1101"/>
      <c r="BO29" s="1089"/>
      <c r="BP29" s="1089"/>
      <c r="BQ29" s="1087"/>
      <c r="BR29" s="1087"/>
      <c r="BS29" s="1087"/>
      <c r="BT29" s="1087"/>
      <c r="BU29" s="1087"/>
      <c r="BV29" s="1087"/>
      <c r="BW29" s="1087"/>
      <c r="BX29" s="1087"/>
      <c r="BY29" s="1089"/>
      <c r="BZ29" s="1089"/>
      <c r="CA29" s="1087"/>
      <c r="CD29" s="33"/>
      <c r="CE29" s="31"/>
      <c r="CF29" s="1088"/>
      <c r="CG29" s="1088"/>
      <c r="CH29" s="1088"/>
      <c r="CI29" s="1088"/>
      <c r="CJ29" s="1088"/>
      <c r="CK29" s="1088"/>
      <c r="CL29" s="1088"/>
      <c r="CM29" s="31"/>
      <c r="CN29" s="149"/>
      <c r="CO29" s="149"/>
      <c r="CP29" s="149"/>
      <c r="CQ29" s="149"/>
      <c r="CR29" s="149"/>
      <c r="CS29" s="149"/>
      <c r="CT29" s="149"/>
      <c r="CU29" s="31"/>
      <c r="CV29" s="1089"/>
      <c r="CW29" s="1089"/>
      <c r="CX29" s="1087"/>
      <c r="CY29" s="31"/>
      <c r="CZ29" s="1089"/>
      <c r="DA29" s="1089"/>
      <c r="DB29" s="1087"/>
      <c r="DC29" s="33"/>
      <c r="DE29" s="149"/>
      <c r="DF29" s="149"/>
      <c r="DG29" s="149"/>
      <c r="DH29" s="149"/>
      <c r="DI29" s="149"/>
      <c r="DJ29" s="149"/>
      <c r="DM29" s="1103">
        <f t="shared" si="20"/>
        <v>0</v>
      </c>
    </row>
    <row r="30" spans="1:130" s="146" customFormat="1" ht="18" x14ac:dyDescent="0.25">
      <c r="E30" s="1099"/>
      <c r="H30" s="1100"/>
      <c r="I30" s="1100"/>
      <c r="J30" s="1100"/>
      <c r="K30" s="1101"/>
      <c r="L30" s="1101"/>
      <c r="M30" s="1100"/>
      <c r="N30" s="1101"/>
      <c r="O30" s="1101"/>
      <c r="P30" s="1100"/>
      <c r="Q30" s="1100"/>
      <c r="R30" s="1100"/>
      <c r="U30" s="1100"/>
      <c r="X30" s="1100"/>
      <c r="AA30" s="1100"/>
      <c r="AB30" s="1100"/>
      <c r="AC30" s="1100"/>
      <c r="AD30" s="1100"/>
      <c r="AE30" s="1101"/>
      <c r="AF30" s="1102"/>
      <c r="AG30" s="1100"/>
      <c r="AJ30" s="1100"/>
      <c r="AN30" s="1100"/>
      <c r="AO30" s="1101"/>
      <c r="AP30" s="1101"/>
      <c r="AQ30" s="1100"/>
      <c r="AR30" s="149"/>
      <c r="AS30" s="149"/>
      <c r="AT30" s="149"/>
      <c r="AU30" s="1100"/>
      <c r="AV30" s="149"/>
      <c r="AW30" s="149"/>
      <c r="AX30" s="149"/>
      <c r="AY30" s="149"/>
      <c r="AZ30" s="149"/>
      <c r="BA30" s="1100"/>
      <c r="BB30" s="1100"/>
      <c r="BC30" s="1100"/>
      <c r="BD30" s="1100"/>
      <c r="BE30" s="149"/>
      <c r="BF30" s="149"/>
      <c r="BG30" s="149"/>
      <c r="BH30" s="1100"/>
      <c r="BI30" s="1100"/>
      <c r="BJ30" s="149"/>
      <c r="BK30" s="149"/>
      <c r="BL30" s="149"/>
      <c r="BM30" s="1100"/>
      <c r="BN30" s="1101"/>
      <c r="BO30" s="1089"/>
      <c r="BP30" s="1089"/>
      <c r="BQ30" s="1087"/>
      <c r="BR30" s="1087"/>
      <c r="BS30" s="1087"/>
      <c r="BT30" s="1087"/>
      <c r="BU30" s="1087"/>
      <c r="BV30" s="1087"/>
      <c r="BW30" s="1087"/>
      <c r="BX30" s="1087"/>
      <c r="BY30" s="1089"/>
      <c r="BZ30" s="1089"/>
      <c r="CA30" s="1087"/>
      <c r="CD30" s="33"/>
      <c r="CF30" s="1088"/>
      <c r="CG30" s="1088"/>
      <c r="CH30" s="1088"/>
      <c r="CI30" s="1088"/>
      <c r="CJ30" s="1088"/>
      <c r="CK30" s="1088"/>
      <c r="CL30" s="1088"/>
      <c r="CM30" s="31"/>
      <c r="CN30" s="149"/>
      <c r="CO30" s="149"/>
      <c r="CP30" s="149"/>
      <c r="CQ30" s="149"/>
      <c r="CR30" s="149"/>
      <c r="CS30" s="149"/>
      <c r="CT30" s="149"/>
      <c r="CU30" s="31"/>
      <c r="CV30" s="1089"/>
      <c r="CW30" s="1089"/>
      <c r="CX30" s="1087"/>
      <c r="CY30" s="31"/>
      <c r="CZ30" s="1089"/>
      <c r="DA30" s="1089"/>
      <c r="DB30" s="1087"/>
      <c r="DE30" s="149"/>
      <c r="DF30" s="149"/>
      <c r="DG30" s="149"/>
      <c r="DH30" s="149"/>
      <c r="DI30" s="149"/>
      <c r="DJ30" s="149"/>
      <c r="DM30" s="1103">
        <f t="shared" si="20"/>
        <v>0</v>
      </c>
    </row>
    <row r="31" spans="1:130" s="146" customFormat="1" ht="18" x14ac:dyDescent="0.25">
      <c r="E31" s="1099"/>
      <c r="H31" s="1100"/>
      <c r="I31" s="1100"/>
      <c r="J31" s="1100"/>
      <c r="K31" s="1101"/>
      <c r="L31" s="1101"/>
      <c r="M31" s="1100"/>
      <c r="N31" s="1101"/>
      <c r="O31" s="1101"/>
      <c r="P31" s="1100"/>
      <c r="Q31" s="1100"/>
      <c r="R31" s="1100"/>
      <c r="U31" s="1100"/>
      <c r="X31" s="1100"/>
      <c r="AA31" s="1100"/>
      <c r="AB31" s="1100"/>
      <c r="AC31" s="1100"/>
      <c r="AD31" s="1100"/>
      <c r="AE31" s="1101"/>
      <c r="AF31" s="1102"/>
      <c r="AG31" s="1100"/>
      <c r="AJ31" s="1100"/>
      <c r="AN31" s="1100"/>
      <c r="AO31" s="1101"/>
      <c r="AP31" s="1101"/>
      <c r="AQ31" s="1100"/>
      <c r="AR31" s="149"/>
      <c r="AS31" s="149"/>
      <c r="AT31" s="149"/>
      <c r="AU31" s="1100"/>
      <c r="AV31" s="149"/>
      <c r="AW31" s="149"/>
      <c r="AX31" s="149"/>
      <c r="AY31" s="149"/>
      <c r="AZ31" s="149"/>
      <c r="BA31" s="1100"/>
      <c r="BB31" s="1100"/>
      <c r="BC31" s="1100"/>
      <c r="BD31" s="1100"/>
      <c r="BE31" s="149"/>
      <c r="BF31" s="149"/>
      <c r="BG31" s="149"/>
      <c r="BH31" s="1100"/>
      <c r="BI31" s="1100"/>
      <c r="BJ31" s="149"/>
      <c r="BK31" s="149"/>
      <c r="BL31" s="149"/>
      <c r="BM31" s="1100"/>
      <c r="BN31" s="1101"/>
      <c r="BO31" s="1089"/>
      <c r="BP31" s="1089"/>
      <c r="BQ31" s="1087"/>
      <c r="BR31" s="1087"/>
      <c r="BS31" s="1087"/>
      <c r="BT31" s="1087"/>
      <c r="BU31" s="1087"/>
      <c r="BV31" s="1087"/>
      <c r="BW31" s="1087"/>
      <c r="BX31" s="1087"/>
      <c r="BY31" s="1089"/>
      <c r="BZ31" s="1089"/>
      <c r="CA31" s="1087"/>
      <c r="CD31" s="33"/>
      <c r="CF31" s="1088"/>
      <c r="CG31" s="1088"/>
      <c r="CH31" s="1088"/>
      <c r="CI31" s="1088"/>
      <c r="CJ31" s="1088"/>
      <c r="CK31" s="1088"/>
      <c r="CL31" s="1088"/>
      <c r="CM31" s="31"/>
      <c r="CN31" s="149"/>
      <c r="CO31" s="149"/>
      <c r="CP31" s="149"/>
      <c r="CQ31" s="149"/>
      <c r="CR31" s="149"/>
      <c r="CS31" s="149"/>
      <c r="CT31" s="149"/>
      <c r="CV31" s="1089"/>
      <c r="CW31" s="1089"/>
      <c r="CX31" s="1087"/>
      <c r="CY31" s="31"/>
      <c r="CZ31" s="1089"/>
      <c r="DA31" s="1089"/>
      <c r="DB31" s="1087"/>
      <c r="DE31" s="149"/>
      <c r="DF31" s="149"/>
      <c r="DG31" s="149"/>
      <c r="DH31" s="149"/>
      <c r="DI31" s="149"/>
      <c r="DJ31" s="149"/>
      <c r="DM31" s="1103">
        <f t="shared" si="20"/>
        <v>0</v>
      </c>
    </row>
    <row r="32" spans="1:130" s="146" customFormat="1" ht="18" x14ac:dyDescent="0.25">
      <c r="E32" s="1099"/>
      <c r="H32" s="1100"/>
      <c r="I32" s="1100"/>
      <c r="J32" s="1100"/>
      <c r="K32" s="1101"/>
      <c r="L32" s="1101"/>
      <c r="M32" s="1100"/>
      <c r="N32" s="1101"/>
      <c r="O32" s="1101"/>
      <c r="P32" s="1100"/>
      <c r="Q32" s="1100"/>
      <c r="R32" s="1100"/>
      <c r="U32" s="1100"/>
      <c r="X32" s="1100"/>
      <c r="AA32" s="1100"/>
      <c r="AB32" s="1100"/>
      <c r="AC32" s="1100"/>
      <c r="AD32" s="1100"/>
      <c r="AE32" s="1101"/>
      <c r="AF32" s="1102"/>
      <c r="AG32" s="1100"/>
      <c r="AJ32" s="1100"/>
      <c r="AN32" s="1100"/>
      <c r="AO32" s="1101"/>
      <c r="AP32" s="1101"/>
      <c r="AQ32" s="1100"/>
      <c r="AR32" s="149"/>
      <c r="AS32" s="149"/>
      <c r="AT32" s="149"/>
      <c r="AU32" s="1100"/>
      <c r="AV32" s="149"/>
      <c r="AW32" s="149"/>
      <c r="AX32" s="149"/>
      <c r="AY32" s="149"/>
      <c r="AZ32" s="149"/>
      <c r="BA32" s="1100"/>
      <c r="BB32" s="1100"/>
      <c r="BC32" s="1100"/>
      <c r="BD32" s="1100"/>
      <c r="BE32" s="149"/>
      <c r="BF32" s="149"/>
      <c r="BG32" s="149"/>
      <c r="BH32" s="1100"/>
      <c r="BI32" s="1100"/>
      <c r="BJ32" s="149"/>
      <c r="BK32" s="149"/>
      <c r="BL32" s="149"/>
      <c r="BM32" s="1100"/>
      <c r="BN32" s="1101"/>
      <c r="BO32" s="1089"/>
      <c r="BP32" s="1089"/>
      <c r="BQ32" s="1087"/>
      <c r="BR32" s="1087"/>
      <c r="BS32" s="1087"/>
      <c r="BT32" s="1087"/>
      <c r="BU32" s="1087"/>
      <c r="BV32" s="1087"/>
      <c r="BW32" s="1087"/>
      <c r="BX32" s="1087"/>
      <c r="BY32" s="1089"/>
      <c r="BZ32" s="1089"/>
      <c r="CA32" s="1087"/>
      <c r="CF32" s="1088"/>
      <c r="CG32" s="1088"/>
      <c r="CH32" s="1088"/>
      <c r="CI32" s="1088"/>
      <c r="CJ32" s="1088"/>
      <c r="CK32" s="1088"/>
      <c r="CL32" s="1088"/>
      <c r="CM32" s="31"/>
      <c r="CN32" s="149"/>
      <c r="CO32" s="149"/>
      <c r="CP32" s="149"/>
      <c r="CQ32" s="149"/>
      <c r="CR32" s="149"/>
      <c r="CS32" s="149"/>
      <c r="CT32" s="149"/>
      <c r="CV32" s="1089"/>
      <c r="CW32" s="1089"/>
      <c r="CX32" s="1087"/>
      <c r="CZ32" s="1089"/>
      <c r="DA32" s="1089"/>
      <c r="DB32" s="1087"/>
      <c r="DE32" s="149"/>
      <c r="DF32" s="149"/>
      <c r="DG32" s="149"/>
      <c r="DH32" s="149"/>
      <c r="DI32" s="149"/>
      <c r="DJ32" s="149"/>
      <c r="DM32" s="1103">
        <f t="shared" si="20"/>
        <v>0</v>
      </c>
    </row>
    <row r="33" spans="5:117" s="146" customFormat="1" ht="18" x14ac:dyDescent="0.25">
      <c r="E33" s="1099"/>
      <c r="H33" s="1100"/>
      <c r="I33" s="1100"/>
      <c r="J33" s="1100"/>
      <c r="K33" s="1101"/>
      <c r="L33" s="1101"/>
      <c r="M33" s="1100"/>
      <c r="N33" s="1101"/>
      <c r="O33" s="1101"/>
      <c r="P33" s="1100"/>
      <c r="Q33" s="1100"/>
      <c r="R33" s="1100"/>
      <c r="U33" s="1100"/>
      <c r="X33" s="1100"/>
      <c r="AA33" s="1100"/>
      <c r="AB33" s="1100"/>
      <c r="AC33" s="1100"/>
      <c r="AD33" s="1100"/>
      <c r="AE33" s="1101"/>
      <c r="AF33" s="1102"/>
      <c r="AG33" s="1100"/>
      <c r="AJ33" s="1100"/>
      <c r="AN33" s="1100"/>
      <c r="AO33" s="1101"/>
      <c r="AP33" s="1101"/>
      <c r="AQ33" s="1100"/>
      <c r="AR33" s="149"/>
      <c r="AS33" s="149"/>
      <c r="AT33" s="149"/>
      <c r="AU33" s="1100"/>
      <c r="AV33" s="149"/>
      <c r="AW33" s="149"/>
      <c r="AX33" s="149"/>
      <c r="AY33" s="149"/>
      <c r="AZ33" s="149"/>
      <c r="BA33" s="1100"/>
      <c r="BB33" s="1100"/>
      <c r="BC33" s="1100"/>
      <c r="BD33" s="1100"/>
      <c r="BE33" s="149"/>
      <c r="BF33" s="149"/>
      <c r="BG33" s="149"/>
      <c r="BH33" s="1100"/>
      <c r="BI33" s="1100"/>
      <c r="BJ33" s="149"/>
      <c r="BK33" s="149"/>
      <c r="BL33" s="149"/>
      <c r="BM33" s="1100"/>
      <c r="BN33" s="1101"/>
      <c r="BO33" s="1089"/>
      <c r="BP33" s="1089"/>
      <c r="BQ33" s="1087"/>
      <c r="BR33" s="1087"/>
      <c r="BS33" s="1087"/>
      <c r="BT33" s="1087"/>
      <c r="BU33" s="1087"/>
      <c r="BV33" s="1087"/>
      <c r="BW33" s="1087"/>
      <c r="BX33" s="1087"/>
      <c r="BY33" s="1089"/>
      <c r="BZ33" s="1089"/>
      <c r="CA33" s="1087"/>
      <c r="CF33" s="1088"/>
      <c r="CG33" s="1088"/>
      <c r="CH33" s="1088"/>
      <c r="CI33" s="1088"/>
      <c r="CJ33" s="1088"/>
      <c r="CK33" s="1088"/>
      <c r="CL33" s="1088"/>
      <c r="CN33" s="149"/>
      <c r="CO33" s="149"/>
      <c r="CP33" s="149"/>
      <c r="CQ33" s="149"/>
      <c r="CR33" s="149"/>
      <c r="CS33" s="149"/>
      <c r="CT33" s="149"/>
      <c r="CV33" s="1089"/>
      <c r="CW33" s="1089"/>
      <c r="CX33" s="1087"/>
      <c r="CZ33" s="1089"/>
      <c r="DA33" s="1089"/>
      <c r="DB33" s="1087"/>
      <c r="DE33" s="149"/>
      <c r="DF33" s="149"/>
      <c r="DG33" s="149"/>
      <c r="DH33" s="149"/>
      <c r="DI33" s="149"/>
      <c r="DJ33" s="149"/>
      <c r="DM33" s="1103">
        <f t="shared" si="20"/>
        <v>0</v>
      </c>
    </row>
    <row r="34" spans="5:117" s="146" customFormat="1" ht="18" x14ac:dyDescent="0.25">
      <c r="E34" s="1099"/>
      <c r="H34" s="1100"/>
      <c r="I34" s="1100"/>
      <c r="J34" s="1100"/>
      <c r="K34" s="1101"/>
      <c r="L34" s="1101"/>
      <c r="M34" s="1100"/>
      <c r="N34" s="1101"/>
      <c r="O34" s="1101"/>
      <c r="P34" s="1100"/>
      <c r="Q34" s="1100"/>
      <c r="R34" s="1100"/>
      <c r="U34" s="1100"/>
      <c r="X34" s="1100"/>
      <c r="AA34" s="1100"/>
      <c r="AB34" s="1100"/>
      <c r="AC34" s="1100"/>
      <c r="AD34" s="1100"/>
      <c r="AE34" s="1101"/>
      <c r="AF34" s="1102"/>
      <c r="AG34" s="1100"/>
      <c r="AJ34" s="1100"/>
      <c r="AN34" s="1100"/>
      <c r="AO34" s="1101"/>
      <c r="AP34" s="1101"/>
      <c r="AQ34" s="1100"/>
      <c r="AR34" s="149"/>
      <c r="AS34" s="149"/>
      <c r="AT34" s="149"/>
      <c r="AU34" s="1100"/>
      <c r="AV34" s="149"/>
      <c r="AW34" s="149"/>
      <c r="AX34" s="149"/>
      <c r="AY34" s="149"/>
      <c r="AZ34" s="149"/>
      <c r="BA34" s="1100"/>
      <c r="BB34" s="1100"/>
      <c r="BC34" s="1100"/>
      <c r="BD34" s="1100"/>
      <c r="BE34" s="149"/>
      <c r="BF34" s="149"/>
      <c r="BG34" s="149"/>
      <c r="BH34" s="1100"/>
      <c r="BI34" s="1100"/>
      <c r="BJ34" s="149"/>
      <c r="BK34" s="149"/>
      <c r="BL34" s="149"/>
      <c r="BM34" s="1100"/>
      <c r="BN34" s="1101"/>
      <c r="BO34" s="1089"/>
      <c r="BP34" s="1089"/>
      <c r="BQ34" s="1087"/>
      <c r="BR34" s="1087"/>
      <c r="BS34" s="1087"/>
      <c r="BT34" s="1087"/>
      <c r="BU34" s="1087"/>
      <c r="BV34" s="1087"/>
      <c r="BW34" s="1087"/>
      <c r="BX34" s="1087"/>
      <c r="BY34" s="1089"/>
      <c r="BZ34" s="1089"/>
      <c r="CA34" s="1087"/>
      <c r="CF34" s="1088"/>
      <c r="CG34" s="1088"/>
      <c r="CH34" s="1088"/>
      <c r="CI34" s="1088"/>
      <c r="CJ34" s="1088"/>
      <c r="CK34" s="1088"/>
      <c r="CL34" s="1088"/>
      <c r="CN34" s="149"/>
      <c r="CO34" s="149"/>
      <c r="CP34" s="149"/>
      <c r="CQ34" s="149"/>
      <c r="CR34" s="149"/>
      <c r="CS34" s="149"/>
      <c r="CT34" s="149"/>
      <c r="CV34" s="1089"/>
      <c r="CW34" s="1089"/>
      <c r="CX34" s="1087"/>
      <c r="CZ34" s="1089"/>
      <c r="DA34" s="1089"/>
      <c r="DB34" s="1087"/>
      <c r="DE34" s="149"/>
      <c r="DF34" s="149"/>
      <c r="DG34" s="149"/>
      <c r="DH34" s="149"/>
      <c r="DI34" s="149"/>
      <c r="DJ34" s="149"/>
      <c r="DM34" s="1103">
        <f t="shared" si="20"/>
        <v>0</v>
      </c>
    </row>
    <row r="35" spans="5:117" s="146" customFormat="1" ht="18" x14ac:dyDescent="0.25">
      <c r="E35" s="1099"/>
      <c r="H35" s="1100"/>
      <c r="I35" s="1100"/>
      <c r="J35" s="1100"/>
      <c r="K35" s="1101"/>
      <c r="L35" s="1101"/>
      <c r="M35" s="1100"/>
      <c r="N35" s="1101"/>
      <c r="O35" s="1101"/>
      <c r="P35" s="1100"/>
      <c r="Q35" s="1100"/>
      <c r="R35" s="1100"/>
      <c r="U35" s="1100"/>
      <c r="X35" s="1100"/>
      <c r="AA35" s="1100"/>
      <c r="AB35" s="1100"/>
      <c r="AC35" s="1100"/>
      <c r="AD35" s="1100"/>
      <c r="AE35" s="1101"/>
      <c r="AF35" s="1102"/>
      <c r="AG35" s="1100"/>
      <c r="AJ35" s="1100"/>
      <c r="AN35" s="1100"/>
      <c r="AO35" s="1101"/>
      <c r="AP35" s="1101"/>
      <c r="AQ35" s="1100"/>
      <c r="AR35" s="149"/>
      <c r="AS35" s="149"/>
      <c r="AT35" s="149"/>
      <c r="AU35" s="1100"/>
      <c r="AV35" s="149"/>
      <c r="AW35" s="149"/>
      <c r="AX35" s="149"/>
      <c r="AY35" s="149"/>
      <c r="AZ35" s="149"/>
      <c r="BA35" s="1100"/>
      <c r="BB35" s="1100"/>
      <c r="BC35" s="1100"/>
      <c r="BD35" s="1100"/>
      <c r="BE35" s="149"/>
      <c r="BF35" s="149"/>
      <c r="BG35" s="149"/>
      <c r="BH35" s="1100"/>
      <c r="BI35" s="1100"/>
      <c r="BJ35" s="149"/>
      <c r="BK35" s="149"/>
      <c r="BL35" s="149"/>
      <c r="BM35" s="1100"/>
      <c r="BN35" s="1101"/>
      <c r="BO35" s="1089"/>
      <c r="BP35" s="1089"/>
      <c r="BQ35" s="1087"/>
      <c r="BR35" s="1087"/>
      <c r="BS35" s="1087"/>
      <c r="BT35" s="1087"/>
      <c r="BU35" s="1087"/>
      <c r="BV35" s="1087"/>
      <c r="BW35" s="1087"/>
      <c r="BX35" s="1087"/>
      <c r="BY35" s="1089"/>
      <c r="BZ35" s="1089"/>
      <c r="CA35" s="1087"/>
      <c r="CF35" s="1088"/>
      <c r="CG35" s="1088"/>
      <c r="CH35" s="1088"/>
      <c r="CI35" s="1088"/>
      <c r="CJ35" s="1088"/>
      <c r="CK35" s="1088"/>
      <c r="CL35" s="1088"/>
      <c r="CN35" s="149"/>
      <c r="CO35" s="149"/>
      <c r="CP35" s="149"/>
      <c r="CQ35" s="149"/>
      <c r="CR35" s="149"/>
      <c r="CS35" s="149"/>
      <c r="CT35" s="149"/>
      <c r="CV35" s="1089"/>
      <c r="CW35" s="1089"/>
      <c r="CX35" s="1087"/>
      <c r="CZ35" s="1089"/>
      <c r="DA35" s="1089"/>
      <c r="DB35" s="1087"/>
      <c r="DE35" s="149"/>
      <c r="DF35" s="149"/>
      <c r="DG35" s="149"/>
      <c r="DH35" s="149"/>
      <c r="DI35" s="149"/>
      <c r="DJ35" s="149"/>
      <c r="DM35" s="1103">
        <f t="shared" si="20"/>
        <v>0</v>
      </c>
    </row>
    <row r="36" spans="5:117" s="146" customFormat="1" ht="18" x14ac:dyDescent="0.25">
      <c r="E36" s="1099"/>
      <c r="H36" s="1100"/>
      <c r="I36" s="1100"/>
      <c r="J36" s="1100"/>
      <c r="K36" s="1101"/>
      <c r="L36" s="1101"/>
      <c r="M36" s="1100"/>
      <c r="N36" s="1101"/>
      <c r="O36" s="1101"/>
      <c r="P36" s="1100"/>
      <c r="Q36" s="1100"/>
      <c r="R36" s="1100"/>
      <c r="U36" s="1100"/>
      <c r="X36" s="1100"/>
      <c r="AA36" s="1100"/>
      <c r="AB36" s="1100"/>
      <c r="AC36" s="1100"/>
      <c r="AD36" s="1100"/>
      <c r="AE36" s="1101"/>
      <c r="AF36" s="1102"/>
      <c r="AG36" s="1100"/>
      <c r="AJ36" s="1100"/>
      <c r="AN36" s="1100"/>
      <c r="AO36" s="1101"/>
      <c r="AP36" s="1101"/>
      <c r="AQ36" s="1100"/>
      <c r="AR36" s="149"/>
      <c r="AS36" s="149"/>
      <c r="AT36" s="149"/>
      <c r="AU36" s="1100"/>
      <c r="AV36" s="149"/>
      <c r="AW36" s="149"/>
      <c r="AX36" s="149"/>
      <c r="AY36" s="149"/>
      <c r="AZ36" s="149"/>
      <c r="BA36" s="1100"/>
      <c r="BB36" s="1100"/>
      <c r="BC36" s="1100"/>
      <c r="BD36" s="1100"/>
      <c r="BE36" s="149"/>
      <c r="BF36" s="149"/>
      <c r="BG36" s="149"/>
      <c r="BH36" s="1100"/>
      <c r="BI36" s="1100"/>
      <c r="BJ36" s="149"/>
      <c r="BK36" s="149"/>
      <c r="BL36" s="149"/>
      <c r="BM36" s="1100"/>
      <c r="BN36" s="1101"/>
      <c r="BO36" s="1089"/>
      <c r="BP36" s="1089"/>
      <c r="BQ36" s="1087"/>
      <c r="BR36" s="1087"/>
      <c r="BS36" s="1087"/>
      <c r="BT36" s="1087"/>
      <c r="BU36" s="1087"/>
      <c r="BV36" s="1087"/>
      <c r="BW36" s="1087"/>
      <c r="BX36" s="1087"/>
      <c r="BY36" s="1089"/>
      <c r="BZ36" s="1089"/>
      <c r="CA36" s="1087"/>
      <c r="CF36" s="1088"/>
      <c r="CG36" s="1088"/>
      <c r="CH36" s="1088"/>
      <c r="CI36" s="1088"/>
      <c r="CJ36" s="1088"/>
      <c r="CK36" s="1088"/>
      <c r="CL36" s="1088"/>
      <c r="CN36" s="149"/>
      <c r="CO36" s="149"/>
      <c r="CP36" s="149"/>
      <c r="CQ36" s="149"/>
      <c r="CR36" s="149"/>
      <c r="CS36" s="149"/>
      <c r="CT36" s="149"/>
      <c r="CV36" s="1089"/>
      <c r="CW36" s="1089"/>
      <c r="CX36" s="1087"/>
      <c r="CZ36" s="1089"/>
      <c r="DA36" s="1089"/>
      <c r="DB36" s="1087"/>
      <c r="DE36" s="149"/>
      <c r="DF36" s="149"/>
      <c r="DG36" s="149"/>
      <c r="DH36" s="149"/>
      <c r="DI36" s="149"/>
      <c r="DJ36" s="149"/>
      <c r="DM36" s="1103">
        <f t="shared" si="20"/>
        <v>0</v>
      </c>
    </row>
    <row r="37" spans="5:117" s="146" customFormat="1" ht="18" x14ac:dyDescent="0.25">
      <c r="E37" s="1099"/>
      <c r="H37" s="1100"/>
      <c r="I37" s="1100"/>
      <c r="J37" s="1100"/>
      <c r="K37" s="1101"/>
      <c r="L37" s="1101"/>
      <c r="M37" s="1100"/>
      <c r="N37" s="1101"/>
      <c r="O37" s="1101"/>
      <c r="P37" s="1100"/>
      <c r="Q37" s="1100"/>
      <c r="R37" s="1100"/>
      <c r="U37" s="1100"/>
      <c r="X37" s="1100"/>
      <c r="AA37" s="1100"/>
      <c r="AB37" s="1100"/>
      <c r="AC37" s="1100"/>
      <c r="AD37" s="1100"/>
      <c r="AE37" s="1101"/>
      <c r="AF37" s="1102"/>
      <c r="AG37" s="1100"/>
      <c r="AJ37" s="1100"/>
      <c r="AN37" s="1100"/>
      <c r="AO37" s="1101"/>
      <c r="AP37" s="1101"/>
      <c r="AQ37" s="1100"/>
      <c r="AR37" s="149"/>
      <c r="AS37" s="149"/>
      <c r="AT37" s="149"/>
      <c r="AU37" s="1100"/>
      <c r="AV37" s="149"/>
      <c r="AW37" s="149"/>
      <c r="AX37" s="149"/>
      <c r="AY37" s="149"/>
      <c r="AZ37" s="149"/>
      <c r="BA37" s="1100"/>
      <c r="BB37" s="1100"/>
      <c r="BC37" s="1100"/>
      <c r="BD37" s="1100"/>
      <c r="BE37" s="149"/>
      <c r="BF37" s="149"/>
      <c r="BG37" s="149"/>
      <c r="BH37" s="1100"/>
      <c r="BI37" s="1100"/>
      <c r="BJ37" s="149"/>
      <c r="BK37" s="149"/>
      <c r="BL37" s="149"/>
      <c r="BM37" s="1100"/>
      <c r="BN37" s="1101"/>
      <c r="BO37" s="1089"/>
      <c r="BP37" s="1089"/>
      <c r="BQ37" s="1087"/>
      <c r="BR37" s="1087"/>
      <c r="BS37" s="1087"/>
      <c r="BT37" s="1087"/>
      <c r="BU37" s="1087"/>
      <c r="BV37" s="1087"/>
      <c r="BW37" s="1087"/>
      <c r="BX37" s="1087"/>
      <c r="BY37" s="1089"/>
      <c r="BZ37" s="1089"/>
      <c r="CA37" s="1087"/>
      <c r="CF37" s="1088"/>
      <c r="CG37" s="1088"/>
      <c r="CH37" s="1088"/>
      <c r="CI37" s="1088"/>
      <c r="CJ37" s="1088"/>
      <c r="CK37" s="1088"/>
      <c r="CL37" s="1088"/>
      <c r="CN37" s="149"/>
      <c r="CO37" s="149"/>
      <c r="CP37" s="149"/>
      <c r="CQ37" s="149"/>
      <c r="CR37" s="149"/>
      <c r="CS37" s="149"/>
      <c r="CT37" s="149"/>
      <c r="CV37" s="1089"/>
      <c r="CW37" s="1089"/>
      <c r="CX37" s="1087"/>
      <c r="CZ37" s="1089"/>
      <c r="DA37" s="1089"/>
      <c r="DB37" s="1087"/>
      <c r="DE37" s="149"/>
      <c r="DF37" s="149"/>
      <c r="DG37" s="149"/>
      <c r="DH37" s="149"/>
      <c r="DI37" s="149"/>
      <c r="DJ37" s="149"/>
      <c r="DM37" s="1103">
        <f t="shared" si="20"/>
        <v>0</v>
      </c>
    </row>
    <row r="38" spans="5:117" s="146" customFormat="1" ht="18" x14ac:dyDescent="0.25">
      <c r="E38" s="1099"/>
      <c r="H38" s="1100"/>
      <c r="I38" s="1100"/>
      <c r="J38" s="1100"/>
      <c r="K38" s="1101"/>
      <c r="L38" s="1101"/>
      <c r="M38" s="1100"/>
      <c r="N38" s="1101"/>
      <c r="O38" s="1101"/>
      <c r="P38" s="1100"/>
      <c r="Q38" s="1100"/>
      <c r="R38" s="1100"/>
      <c r="U38" s="1100"/>
      <c r="X38" s="1100"/>
      <c r="AA38" s="1100"/>
      <c r="AB38" s="1100"/>
      <c r="AC38" s="1100"/>
      <c r="AD38" s="1100"/>
      <c r="AE38" s="1101"/>
      <c r="AF38" s="1102"/>
      <c r="AG38" s="1100"/>
      <c r="AJ38" s="1100"/>
      <c r="AN38" s="1100"/>
      <c r="AO38" s="1101"/>
      <c r="AP38" s="1101"/>
      <c r="AQ38" s="1100"/>
      <c r="AR38" s="149"/>
      <c r="AS38" s="149"/>
      <c r="AT38" s="149"/>
      <c r="AU38" s="1100"/>
      <c r="AV38" s="149"/>
      <c r="AW38" s="149"/>
      <c r="AX38" s="149"/>
      <c r="AY38" s="149"/>
      <c r="AZ38" s="149"/>
      <c r="BA38" s="1100"/>
      <c r="BB38" s="1100"/>
      <c r="BC38" s="1100"/>
      <c r="BD38" s="1100"/>
      <c r="BE38" s="149"/>
      <c r="BF38" s="149"/>
      <c r="BG38" s="149"/>
      <c r="BH38" s="1100"/>
      <c r="BI38" s="1100"/>
      <c r="BJ38" s="149"/>
      <c r="BK38" s="149"/>
      <c r="BL38" s="149"/>
      <c r="BM38" s="1100"/>
      <c r="BN38" s="1101"/>
      <c r="BO38" s="1089"/>
      <c r="BP38" s="1089"/>
      <c r="BQ38" s="1087"/>
      <c r="BR38" s="1087"/>
      <c r="BS38" s="1087"/>
      <c r="BT38" s="1087"/>
      <c r="BU38" s="1087"/>
      <c r="BV38" s="1087"/>
      <c r="BW38" s="1087"/>
      <c r="BX38" s="1087"/>
      <c r="BY38" s="1089"/>
      <c r="BZ38" s="1089"/>
      <c r="CA38" s="1087"/>
      <c r="CF38" s="1088"/>
      <c r="CG38" s="1088"/>
      <c r="CH38" s="1088"/>
      <c r="CI38" s="1088"/>
      <c r="CJ38" s="1088"/>
      <c r="CK38" s="1088"/>
      <c r="CL38" s="1088"/>
      <c r="CN38" s="149"/>
      <c r="CO38" s="149"/>
      <c r="CP38" s="149"/>
      <c r="CQ38" s="149"/>
      <c r="CR38" s="149"/>
      <c r="CS38" s="149"/>
      <c r="CT38" s="149"/>
      <c r="CV38" s="1089"/>
      <c r="CW38" s="1089"/>
      <c r="CX38" s="1087"/>
      <c r="CZ38" s="1089"/>
      <c r="DA38" s="1089"/>
      <c r="DB38" s="1087"/>
      <c r="DE38" s="149"/>
      <c r="DF38" s="149"/>
      <c r="DG38" s="149"/>
      <c r="DH38" s="149"/>
      <c r="DI38" s="149"/>
      <c r="DJ38" s="149"/>
      <c r="DM38" s="1103">
        <f t="shared" si="20"/>
        <v>0</v>
      </c>
    </row>
    <row r="39" spans="5:117" s="146" customFormat="1" ht="18" x14ac:dyDescent="0.25">
      <c r="E39" s="1099"/>
      <c r="H39" s="1100"/>
      <c r="I39" s="1100"/>
      <c r="J39" s="1100"/>
      <c r="K39" s="1101"/>
      <c r="L39" s="1101"/>
      <c r="M39" s="1100"/>
      <c r="N39" s="1101"/>
      <c r="O39" s="1101"/>
      <c r="P39" s="1100"/>
      <c r="Q39" s="1100"/>
      <c r="R39" s="1100"/>
      <c r="U39" s="1100"/>
      <c r="X39" s="1100"/>
      <c r="AA39" s="1100"/>
      <c r="AB39" s="1100"/>
      <c r="AC39" s="1100"/>
      <c r="AD39" s="1100"/>
      <c r="AE39" s="1101"/>
      <c r="AF39" s="1102"/>
      <c r="AG39" s="1100"/>
      <c r="AJ39" s="1100"/>
      <c r="AN39" s="1100"/>
      <c r="AO39" s="1101"/>
      <c r="AP39" s="1101"/>
      <c r="AQ39" s="1100"/>
      <c r="AR39" s="149"/>
      <c r="AS39" s="149"/>
      <c r="AT39" s="149"/>
      <c r="AU39" s="1100"/>
      <c r="AV39" s="149"/>
      <c r="AW39" s="149"/>
      <c r="AX39" s="149"/>
      <c r="AY39" s="149"/>
      <c r="AZ39" s="149"/>
      <c r="BA39" s="1100"/>
      <c r="BB39" s="1100"/>
      <c r="BC39" s="1100"/>
      <c r="BD39" s="1100"/>
      <c r="BE39" s="149"/>
      <c r="BF39" s="149"/>
      <c r="BG39" s="149"/>
      <c r="BH39" s="1100"/>
      <c r="BI39" s="1100"/>
      <c r="BJ39" s="149"/>
      <c r="BK39" s="149"/>
      <c r="BL39" s="149"/>
      <c r="BM39" s="1100"/>
      <c r="BN39" s="1101"/>
      <c r="BO39" s="1089"/>
      <c r="BP39" s="1089"/>
      <c r="BQ39" s="1087"/>
      <c r="BR39" s="1087"/>
      <c r="BS39" s="1087"/>
      <c r="BT39" s="1087"/>
      <c r="BU39" s="1087"/>
      <c r="BV39" s="1087"/>
      <c r="BW39" s="1087"/>
      <c r="BX39" s="1087"/>
      <c r="BY39" s="1089"/>
      <c r="BZ39" s="1089"/>
      <c r="CA39" s="1087"/>
      <c r="CF39" s="1088"/>
      <c r="CG39" s="1088"/>
      <c r="CH39" s="1088"/>
      <c r="CI39" s="1088"/>
      <c r="CJ39" s="1088"/>
      <c r="CK39" s="1088"/>
      <c r="CL39" s="1088"/>
      <c r="CN39" s="149"/>
      <c r="CO39" s="149"/>
      <c r="CP39" s="149"/>
      <c r="CQ39" s="149"/>
      <c r="CR39" s="149"/>
      <c r="CS39" s="149"/>
      <c r="CT39" s="149"/>
      <c r="CV39" s="1089"/>
      <c r="CW39" s="1089"/>
      <c r="CX39" s="1087"/>
      <c r="CZ39" s="1089"/>
      <c r="DA39" s="1089"/>
      <c r="DB39" s="1087"/>
      <c r="DE39" s="149"/>
      <c r="DF39" s="149"/>
      <c r="DG39" s="149"/>
      <c r="DH39" s="149"/>
      <c r="DI39" s="149"/>
      <c r="DJ39" s="149"/>
      <c r="DM39" s="1103">
        <f t="shared" si="20"/>
        <v>0</v>
      </c>
    </row>
    <row r="40" spans="5:117" s="146" customFormat="1" ht="18" x14ac:dyDescent="0.25">
      <c r="E40" s="1099"/>
      <c r="H40" s="1100"/>
      <c r="I40" s="1100"/>
      <c r="J40" s="1100"/>
      <c r="K40" s="1101"/>
      <c r="L40" s="1101"/>
      <c r="M40" s="1100"/>
      <c r="N40" s="1101"/>
      <c r="O40" s="1101"/>
      <c r="P40" s="1100"/>
      <c r="Q40" s="1100"/>
      <c r="R40" s="1100"/>
      <c r="U40" s="1100"/>
      <c r="X40" s="1100"/>
      <c r="AA40" s="1100"/>
      <c r="AB40" s="1100"/>
      <c r="AC40" s="1100"/>
      <c r="AD40" s="1100"/>
      <c r="AE40" s="1101"/>
      <c r="AF40" s="1102"/>
      <c r="AG40" s="1100"/>
      <c r="AJ40" s="1100"/>
      <c r="AN40" s="1100"/>
      <c r="AO40" s="1101"/>
      <c r="AP40" s="1101"/>
      <c r="AQ40" s="1100"/>
      <c r="AR40" s="149"/>
      <c r="AS40" s="149"/>
      <c r="AT40" s="149"/>
      <c r="AU40" s="1100"/>
      <c r="AV40" s="149"/>
      <c r="AW40" s="149"/>
      <c r="AX40" s="149"/>
      <c r="AY40" s="149"/>
      <c r="AZ40" s="149"/>
      <c r="BA40" s="1100"/>
      <c r="BB40" s="1100"/>
      <c r="BC40" s="1100"/>
      <c r="BD40" s="1100"/>
      <c r="BE40" s="149"/>
      <c r="BF40" s="149"/>
      <c r="BG40" s="149"/>
      <c r="BH40" s="1100"/>
      <c r="BI40" s="1100"/>
      <c r="BJ40" s="149"/>
      <c r="BK40" s="149"/>
      <c r="BL40" s="149"/>
      <c r="BM40" s="1100"/>
      <c r="BN40" s="1101"/>
      <c r="BO40" s="1089"/>
      <c r="BP40" s="1089"/>
      <c r="BQ40" s="1087"/>
      <c r="BR40" s="1087"/>
      <c r="BS40" s="1087"/>
      <c r="BT40" s="1087"/>
      <c r="BU40" s="1087"/>
      <c r="BV40" s="1087"/>
      <c r="BW40" s="1087"/>
      <c r="BX40" s="1087"/>
      <c r="BY40" s="1089"/>
      <c r="BZ40" s="1089"/>
      <c r="CA40" s="1087"/>
      <c r="CF40" s="1088"/>
      <c r="CG40" s="1088"/>
      <c r="CH40" s="1088"/>
      <c r="CI40" s="1088"/>
      <c r="CJ40" s="1088"/>
      <c r="CK40" s="1088"/>
      <c r="CL40" s="1088"/>
      <c r="CN40" s="149"/>
      <c r="CO40" s="149"/>
      <c r="CP40" s="149"/>
      <c r="CQ40" s="149"/>
      <c r="CR40" s="149"/>
      <c r="CS40" s="149"/>
      <c r="CT40" s="149"/>
      <c r="CV40" s="1089"/>
      <c r="CW40" s="1089"/>
      <c r="CX40" s="1087"/>
      <c r="CZ40" s="1089"/>
      <c r="DA40" s="1089"/>
      <c r="DB40" s="1087"/>
      <c r="DE40" s="149"/>
      <c r="DF40" s="149"/>
      <c r="DG40" s="149"/>
      <c r="DH40" s="149"/>
      <c r="DI40" s="149"/>
      <c r="DJ40" s="149"/>
      <c r="DM40" s="1103">
        <f t="shared" si="20"/>
        <v>0</v>
      </c>
    </row>
    <row r="41" spans="5:117" s="146" customFormat="1" ht="18" x14ac:dyDescent="0.25">
      <c r="E41" s="1099"/>
      <c r="H41" s="1100"/>
      <c r="I41" s="1100"/>
      <c r="J41" s="1100"/>
      <c r="K41" s="1101"/>
      <c r="L41" s="1101"/>
      <c r="M41" s="1100"/>
      <c r="N41" s="1101"/>
      <c r="O41" s="1101"/>
      <c r="P41" s="1100"/>
      <c r="Q41" s="1100"/>
      <c r="R41" s="1100"/>
      <c r="U41" s="1100"/>
      <c r="X41" s="1100"/>
      <c r="AA41" s="1100"/>
      <c r="AB41" s="1100"/>
      <c r="AC41" s="1100"/>
      <c r="AD41" s="1100"/>
      <c r="AE41" s="1101"/>
      <c r="AF41" s="1102"/>
      <c r="AG41" s="1100"/>
      <c r="AJ41" s="1100"/>
      <c r="AN41" s="1100"/>
      <c r="AO41" s="1101"/>
      <c r="AP41" s="1101"/>
      <c r="AQ41" s="1100"/>
      <c r="AR41" s="149"/>
      <c r="AS41" s="149"/>
      <c r="AT41" s="149"/>
      <c r="AU41" s="1100"/>
      <c r="AV41" s="149"/>
      <c r="AW41" s="149"/>
      <c r="AX41" s="149"/>
      <c r="AY41" s="149"/>
      <c r="AZ41" s="149"/>
      <c r="BA41" s="1100"/>
      <c r="BB41" s="1100"/>
      <c r="BC41" s="1100"/>
      <c r="BD41" s="1100"/>
      <c r="BE41" s="149"/>
      <c r="BF41" s="149"/>
      <c r="BG41" s="149"/>
      <c r="BH41" s="1100"/>
      <c r="BI41" s="1100"/>
      <c r="BJ41" s="149"/>
      <c r="BK41" s="149"/>
      <c r="BL41" s="149"/>
      <c r="BM41" s="1100"/>
      <c r="BN41" s="1101"/>
      <c r="BO41" s="1089"/>
      <c r="BP41" s="1089"/>
      <c r="BQ41" s="1087"/>
      <c r="BR41" s="1087"/>
      <c r="BS41" s="1087"/>
      <c r="BT41" s="1087"/>
      <c r="BU41" s="1087"/>
      <c r="BV41" s="1087"/>
      <c r="BW41" s="1087"/>
      <c r="BX41" s="1087"/>
      <c r="BY41" s="1089"/>
      <c r="BZ41" s="1089"/>
      <c r="CA41" s="1087"/>
      <c r="CF41" s="1088"/>
      <c r="CG41" s="1088"/>
      <c r="CH41" s="1088"/>
      <c r="CI41" s="1088"/>
      <c r="CJ41" s="1088"/>
      <c r="CK41" s="1088"/>
      <c r="CL41" s="1088"/>
      <c r="CN41" s="149"/>
      <c r="CO41" s="149"/>
      <c r="CP41" s="149"/>
      <c r="CQ41" s="149"/>
      <c r="CR41" s="149"/>
      <c r="CS41" s="149"/>
      <c r="CT41" s="149"/>
      <c r="CV41" s="1089"/>
      <c r="CW41" s="1089"/>
      <c r="CX41" s="1087"/>
      <c r="CZ41" s="1089"/>
      <c r="DA41" s="1089"/>
      <c r="DB41" s="1087"/>
      <c r="DE41" s="149"/>
      <c r="DF41" s="149"/>
      <c r="DG41" s="149"/>
      <c r="DH41" s="149"/>
      <c r="DI41" s="149"/>
      <c r="DJ41" s="149"/>
      <c r="DM41" s="1103">
        <f t="shared" si="20"/>
        <v>0</v>
      </c>
    </row>
    <row r="42" spans="5:117" s="146" customFormat="1" ht="18" x14ac:dyDescent="0.25">
      <c r="E42" s="1099"/>
      <c r="H42" s="1100"/>
      <c r="I42" s="1100"/>
      <c r="J42" s="1100"/>
      <c r="K42" s="1101"/>
      <c r="L42" s="1101"/>
      <c r="M42" s="1100"/>
      <c r="N42" s="1101"/>
      <c r="O42" s="1101"/>
      <c r="P42" s="1100"/>
      <c r="Q42" s="1100"/>
      <c r="R42" s="1100"/>
      <c r="U42" s="1100"/>
      <c r="X42" s="1100"/>
      <c r="AA42" s="1100"/>
      <c r="AB42" s="1100"/>
      <c r="AC42" s="1100"/>
      <c r="AD42" s="1100"/>
      <c r="AE42" s="1101"/>
      <c r="AF42" s="1102"/>
      <c r="AG42" s="1100"/>
      <c r="AJ42" s="1100"/>
      <c r="AN42" s="1100"/>
      <c r="AO42" s="1101"/>
      <c r="AP42" s="1101"/>
      <c r="AQ42" s="1100"/>
      <c r="AR42" s="149"/>
      <c r="AS42" s="149"/>
      <c r="AT42" s="149"/>
      <c r="AU42" s="1100"/>
      <c r="AV42" s="149"/>
      <c r="AW42" s="149"/>
      <c r="AX42" s="149"/>
      <c r="AY42" s="149"/>
      <c r="AZ42" s="149"/>
      <c r="BA42" s="1100"/>
      <c r="BB42" s="1100"/>
      <c r="BC42" s="1100"/>
      <c r="BD42" s="1100"/>
      <c r="BE42" s="149"/>
      <c r="BF42" s="149"/>
      <c r="BG42" s="149"/>
      <c r="BH42" s="1100"/>
      <c r="BI42" s="1100"/>
      <c r="BJ42" s="149"/>
      <c r="BK42" s="149"/>
      <c r="BL42" s="149"/>
      <c r="BM42" s="1100"/>
      <c r="BN42" s="1101"/>
      <c r="BO42" s="1089"/>
      <c r="BP42" s="1089"/>
      <c r="BQ42" s="1087"/>
      <c r="BR42" s="1087"/>
      <c r="BS42" s="1087"/>
      <c r="BT42" s="1087"/>
      <c r="BU42" s="1087"/>
      <c r="BV42" s="1087"/>
      <c r="BW42" s="1087"/>
      <c r="BX42" s="1087"/>
      <c r="BY42" s="1089"/>
      <c r="BZ42" s="1089"/>
      <c r="CA42" s="1087"/>
      <c r="CF42" s="1088"/>
      <c r="CG42" s="1088"/>
      <c r="CH42" s="1088"/>
      <c r="CI42" s="1088"/>
      <c r="CJ42" s="1088"/>
      <c r="CK42" s="1088"/>
      <c r="CL42" s="1088"/>
      <c r="CN42" s="149"/>
      <c r="CO42" s="149"/>
      <c r="CP42" s="149"/>
      <c r="CQ42" s="149"/>
      <c r="CR42" s="149"/>
      <c r="CS42" s="149"/>
      <c r="CT42" s="149"/>
      <c r="CV42" s="1089"/>
      <c r="CW42" s="1089"/>
      <c r="CX42" s="1087"/>
      <c r="CZ42" s="1089"/>
      <c r="DA42" s="1089"/>
      <c r="DB42" s="1087"/>
      <c r="DE42" s="149"/>
      <c r="DF42" s="149"/>
      <c r="DG42" s="149"/>
      <c r="DH42" s="149"/>
      <c r="DI42" s="149"/>
      <c r="DJ42" s="149"/>
      <c r="DM42" s="1103">
        <f t="shared" si="20"/>
        <v>0</v>
      </c>
    </row>
    <row r="43" spans="5:117" s="146" customFormat="1" ht="18" x14ac:dyDescent="0.25">
      <c r="E43" s="1099"/>
      <c r="H43" s="1100"/>
      <c r="I43" s="1100"/>
      <c r="J43" s="1100"/>
      <c r="K43" s="1101"/>
      <c r="L43" s="1101"/>
      <c r="M43" s="1100"/>
      <c r="N43" s="1101"/>
      <c r="O43" s="1101"/>
      <c r="P43" s="1100"/>
      <c r="Q43" s="1100"/>
      <c r="R43" s="1100"/>
      <c r="U43" s="1100"/>
      <c r="X43" s="1100"/>
      <c r="AA43" s="1100"/>
      <c r="AB43" s="1100"/>
      <c r="AC43" s="1100"/>
      <c r="AD43" s="1100"/>
      <c r="AE43" s="1101"/>
      <c r="AF43" s="1102"/>
      <c r="AG43" s="1100"/>
      <c r="AJ43" s="1100"/>
      <c r="AN43" s="1100"/>
      <c r="AO43" s="1101"/>
      <c r="AP43" s="1101"/>
      <c r="AQ43" s="1100"/>
      <c r="AR43" s="149"/>
      <c r="AS43" s="149"/>
      <c r="AT43" s="149"/>
      <c r="AU43" s="1100"/>
      <c r="AV43" s="149"/>
      <c r="AW43" s="149"/>
      <c r="AX43" s="149"/>
      <c r="AY43" s="149"/>
      <c r="AZ43" s="149"/>
      <c r="BA43" s="1100"/>
      <c r="BB43" s="1100"/>
      <c r="BC43" s="1100"/>
      <c r="BD43" s="1100"/>
      <c r="BE43" s="149"/>
      <c r="BF43" s="149"/>
      <c r="BG43" s="149"/>
      <c r="BH43" s="1100"/>
      <c r="BI43" s="1100"/>
      <c r="BJ43" s="149"/>
      <c r="BK43" s="149"/>
      <c r="BL43" s="149"/>
      <c r="BM43" s="1100"/>
      <c r="BN43" s="1101"/>
      <c r="BO43" s="1089"/>
      <c r="BP43" s="1089"/>
      <c r="BQ43" s="1087"/>
      <c r="BR43" s="1087"/>
      <c r="BS43" s="1087"/>
      <c r="BT43" s="1087"/>
      <c r="BU43" s="1087"/>
      <c r="BV43" s="1087"/>
      <c r="BW43" s="1087"/>
      <c r="BX43" s="1087"/>
      <c r="BY43" s="1089"/>
      <c r="BZ43" s="1089"/>
      <c r="CA43" s="1087"/>
      <c r="CF43" s="1088"/>
      <c r="CG43" s="1088"/>
      <c r="CH43" s="1088"/>
      <c r="CI43" s="1088"/>
      <c r="CJ43" s="1088"/>
      <c r="CK43" s="1088"/>
      <c r="CL43" s="1088"/>
      <c r="CN43" s="149"/>
      <c r="CO43" s="149"/>
      <c r="CP43" s="149"/>
      <c r="CQ43" s="149"/>
      <c r="CR43" s="149"/>
      <c r="CS43" s="149"/>
      <c r="CT43" s="149"/>
      <c r="CV43" s="1089"/>
      <c r="CW43" s="1089"/>
      <c r="CX43" s="1087"/>
      <c r="CZ43" s="1089"/>
      <c r="DA43" s="1089"/>
      <c r="DB43" s="1087"/>
      <c r="DE43" s="149"/>
      <c r="DF43" s="149"/>
      <c r="DG43" s="149"/>
      <c r="DH43" s="149"/>
      <c r="DI43" s="149"/>
      <c r="DJ43" s="149"/>
      <c r="DM43" s="1103">
        <f t="shared" si="20"/>
        <v>0</v>
      </c>
    </row>
    <row r="44" spans="5:117" s="146" customFormat="1" ht="18" x14ac:dyDescent="0.25">
      <c r="E44" s="1099"/>
      <c r="H44" s="1100"/>
      <c r="I44" s="1100"/>
      <c r="J44" s="1100"/>
      <c r="K44" s="1101"/>
      <c r="L44" s="1101"/>
      <c r="M44" s="1100"/>
      <c r="N44" s="1101"/>
      <c r="O44" s="1101"/>
      <c r="P44" s="1100"/>
      <c r="Q44" s="1100"/>
      <c r="R44" s="1100"/>
      <c r="U44" s="1100"/>
      <c r="X44" s="1100"/>
      <c r="AA44" s="1100"/>
      <c r="AB44" s="1100"/>
      <c r="AC44" s="1100"/>
      <c r="AD44" s="1100"/>
      <c r="AE44" s="1101"/>
      <c r="AF44" s="1102"/>
      <c r="AG44" s="1100"/>
      <c r="AJ44" s="1100"/>
      <c r="AN44" s="1100"/>
      <c r="AO44" s="1101"/>
      <c r="AP44" s="1101"/>
      <c r="AQ44" s="1100"/>
      <c r="AR44" s="149"/>
      <c r="AS44" s="149"/>
      <c r="AT44" s="149"/>
      <c r="AU44" s="1100"/>
      <c r="AV44" s="149"/>
      <c r="AW44" s="149"/>
      <c r="AX44" s="149"/>
      <c r="AY44" s="149"/>
      <c r="AZ44" s="149"/>
      <c r="BA44" s="1100"/>
      <c r="BB44" s="1100"/>
      <c r="BC44" s="1100"/>
      <c r="BD44" s="1100"/>
      <c r="BE44" s="149"/>
      <c r="BF44" s="149"/>
      <c r="BG44" s="149"/>
      <c r="BH44" s="1100"/>
      <c r="BI44" s="1100"/>
      <c r="BJ44" s="149"/>
      <c r="BK44" s="149"/>
      <c r="BL44" s="149"/>
      <c r="BM44" s="1100"/>
      <c r="BN44" s="1101"/>
      <c r="BO44" s="1089"/>
      <c r="BP44" s="1089"/>
      <c r="BQ44" s="1087"/>
      <c r="BR44" s="1087"/>
      <c r="BS44" s="1087"/>
      <c r="BT44" s="1087"/>
      <c r="BU44" s="1087"/>
      <c r="BV44" s="1087"/>
      <c r="BW44" s="1087"/>
      <c r="BX44" s="1087"/>
      <c r="BY44" s="1089"/>
      <c r="BZ44" s="1089"/>
      <c r="CA44" s="1087"/>
      <c r="CF44" s="1088"/>
      <c r="CG44" s="1088"/>
      <c r="CH44" s="1088"/>
      <c r="CI44" s="1088"/>
      <c r="CJ44" s="1088"/>
      <c r="CK44" s="1088"/>
      <c r="CL44" s="1088"/>
      <c r="CN44" s="149"/>
      <c r="CO44" s="149"/>
      <c r="CP44" s="149"/>
      <c r="CQ44" s="149"/>
      <c r="CR44" s="149"/>
      <c r="CS44" s="149"/>
      <c r="CT44" s="149"/>
      <c r="CV44" s="1089"/>
      <c r="CW44" s="1089"/>
      <c r="CX44" s="1087"/>
      <c r="CZ44" s="1089"/>
      <c r="DA44" s="1089"/>
      <c r="DB44" s="1087"/>
      <c r="DE44" s="149"/>
      <c r="DF44" s="149"/>
      <c r="DG44" s="149"/>
      <c r="DH44" s="149"/>
      <c r="DI44" s="149"/>
      <c r="DJ44" s="149"/>
      <c r="DM44" s="1103">
        <f t="shared" si="20"/>
        <v>0</v>
      </c>
    </row>
    <row r="45" spans="5:117" s="146" customFormat="1" ht="18" x14ac:dyDescent="0.25">
      <c r="E45" s="1099"/>
      <c r="H45" s="1100"/>
      <c r="I45" s="1100"/>
      <c r="J45" s="1100"/>
      <c r="K45" s="1101"/>
      <c r="L45" s="1101"/>
      <c r="M45" s="1100"/>
      <c r="N45" s="1101"/>
      <c r="O45" s="1101"/>
      <c r="P45" s="1100"/>
      <c r="Q45" s="1100"/>
      <c r="R45" s="1100"/>
      <c r="U45" s="1100"/>
      <c r="X45" s="1100"/>
      <c r="AA45" s="1100"/>
      <c r="AB45" s="1100"/>
      <c r="AC45" s="1100"/>
      <c r="AD45" s="1100"/>
      <c r="AE45" s="1101"/>
      <c r="AF45" s="1102"/>
      <c r="AG45" s="1100"/>
      <c r="AJ45" s="1100"/>
      <c r="AN45" s="1100"/>
      <c r="AO45" s="1101"/>
      <c r="AP45" s="1101"/>
      <c r="AQ45" s="1100"/>
      <c r="AR45" s="149"/>
      <c r="AS45" s="149"/>
      <c r="AT45" s="149"/>
      <c r="AU45" s="1100"/>
      <c r="AV45" s="149"/>
      <c r="AW45" s="149"/>
      <c r="AX45" s="149"/>
      <c r="AY45" s="149"/>
      <c r="AZ45" s="149"/>
      <c r="BA45" s="1100"/>
      <c r="BB45" s="1100"/>
      <c r="BC45" s="1100"/>
      <c r="BD45" s="1100"/>
      <c r="BE45" s="149"/>
      <c r="BF45" s="149"/>
      <c r="BG45" s="149"/>
      <c r="BH45" s="1100"/>
      <c r="BI45" s="1100"/>
      <c r="BJ45" s="149"/>
      <c r="BK45" s="149"/>
      <c r="BL45" s="149"/>
      <c r="BM45" s="1100"/>
      <c r="BN45" s="1101"/>
      <c r="BO45" s="1089"/>
      <c r="BP45" s="1089"/>
      <c r="BQ45" s="1087"/>
      <c r="BR45" s="1087"/>
      <c r="BS45" s="1087"/>
      <c r="BT45" s="1087"/>
      <c r="BU45" s="1087"/>
      <c r="BV45" s="1087"/>
      <c r="BW45" s="1087"/>
      <c r="BX45" s="1087"/>
      <c r="BY45" s="1089"/>
      <c r="BZ45" s="1089"/>
      <c r="CA45" s="1087"/>
      <c r="CF45" s="1088"/>
      <c r="CG45" s="1088"/>
      <c r="CH45" s="1088"/>
      <c r="CI45" s="1088"/>
      <c r="CJ45" s="1088"/>
      <c r="CK45" s="1088"/>
      <c r="CL45" s="1088"/>
      <c r="CN45" s="149"/>
      <c r="CO45" s="149"/>
      <c r="CP45" s="149"/>
      <c r="CQ45" s="149"/>
      <c r="CR45" s="149"/>
      <c r="CS45" s="149"/>
      <c r="CT45" s="149"/>
      <c r="CV45" s="1089"/>
      <c r="CW45" s="1089"/>
      <c r="CX45" s="1087"/>
      <c r="CZ45" s="1089"/>
      <c r="DA45" s="1089"/>
      <c r="DB45" s="1087"/>
      <c r="DE45" s="149"/>
      <c r="DF45" s="149"/>
      <c r="DG45" s="149"/>
      <c r="DH45" s="149"/>
      <c r="DI45" s="149"/>
      <c r="DJ45" s="149"/>
      <c r="DM45" s="1103">
        <f t="shared" si="20"/>
        <v>0</v>
      </c>
    </row>
    <row r="46" spans="5:117" s="146" customFormat="1" ht="18" x14ac:dyDescent="0.25">
      <c r="E46" s="1099"/>
      <c r="H46" s="1100"/>
      <c r="I46" s="1100"/>
      <c r="J46" s="1100"/>
      <c r="K46" s="1101"/>
      <c r="L46" s="1101"/>
      <c r="M46" s="1100"/>
      <c r="N46" s="1101"/>
      <c r="O46" s="1101"/>
      <c r="P46" s="1100"/>
      <c r="Q46" s="1100"/>
      <c r="R46" s="1100"/>
      <c r="U46" s="1100"/>
      <c r="X46" s="1100"/>
      <c r="AA46" s="1100"/>
      <c r="AB46" s="1100"/>
      <c r="AC46" s="1100"/>
      <c r="AD46" s="1100"/>
      <c r="AE46" s="1101"/>
      <c r="AF46" s="1102"/>
      <c r="AG46" s="1100"/>
      <c r="AJ46" s="1100"/>
      <c r="AN46" s="1100"/>
      <c r="AO46" s="1101"/>
      <c r="AP46" s="1101"/>
      <c r="AQ46" s="1100"/>
      <c r="AR46" s="149"/>
      <c r="AS46" s="149"/>
      <c r="AT46" s="149"/>
      <c r="AU46" s="1100"/>
      <c r="AV46" s="149"/>
      <c r="AW46" s="149"/>
      <c r="AX46" s="149"/>
      <c r="AY46" s="149"/>
      <c r="AZ46" s="149"/>
      <c r="BA46" s="1100"/>
      <c r="BB46" s="1100"/>
      <c r="BC46" s="1100"/>
      <c r="BD46" s="1100"/>
      <c r="BE46" s="149"/>
      <c r="BF46" s="149"/>
      <c r="BG46" s="149"/>
      <c r="BH46" s="1100"/>
      <c r="BI46" s="1100"/>
      <c r="BJ46" s="149"/>
      <c r="BK46" s="149"/>
      <c r="BL46" s="149"/>
      <c r="BM46" s="1100"/>
      <c r="BN46" s="1101"/>
      <c r="BO46" s="1089"/>
      <c r="BP46" s="1089"/>
      <c r="BQ46" s="1087"/>
      <c r="BR46" s="1087"/>
      <c r="BS46" s="1087"/>
      <c r="BT46" s="1087"/>
      <c r="BU46" s="1087"/>
      <c r="BV46" s="1087"/>
      <c r="BW46" s="1087"/>
      <c r="BX46" s="1087"/>
      <c r="BY46" s="1089"/>
      <c r="BZ46" s="1089"/>
      <c r="CA46" s="1087"/>
      <c r="CF46" s="1088"/>
      <c r="CG46" s="1088"/>
      <c r="CH46" s="1088"/>
      <c r="CI46" s="1088"/>
      <c r="CJ46" s="1088"/>
      <c r="CK46" s="1088"/>
      <c r="CL46" s="1088"/>
      <c r="CN46" s="149"/>
      <c r="CO46" s="149"/>
      <c r="CP46" s="149"/>
      <c r="CQ46" s="149"/>
      <c r="CR46" s="149"/>
      <c r="CS46" s="149"/>
      <c r="CT46" s="149"/>
      <c r="CV46" s="1089"/>
      <c r="CW46" s="1089"/>
      <c r="CX46" s="1087"/>
      <c r="CZ46" s="1089"/>
      <c r="DA46" s="1089"/>
      <c r="DB46" s="1087"/>
      <c r="DE46" s="149"/>
      <c r="DF46" s="149"/>
      <c r="DG46" s="149"/>
      <c r="DH46" s="149"/>
      <c r="DI46" s="149"/>
      <c r="DJ46" s="149"/>
      <c r="DM46" s="1103">
        <f t="shared" si="20"/>
        <v>0</v>
      </c>
    </row>
    <row r="47" spans="5:117" s="146" customFormat="1" ht="18" x14ac:dyDescent="0.25">
      <c r="E47" s="1099"/>
      <c r="H47" s="1100"/>
      <c r="I47" s="1100"/>
      <c r="J47" s="1100"/>
      <c r="K47" s="1101"/>
      <c r="L47" s="1101"/>
      <c r="M47" s="1100"/>
      <c r="N47" s="1101"/>
      <c r="O47" s="1101"/>
      <c r="P47" s="1100"/>
      <c r="Q47" s="1100"/>
      <c r="R47" s="1100"/>
      <c r="U47" s="1100"/>
      <c r="X47" s="1100"/>
      <c r="AA47" s="1100"/>
      <c r="AB47" s="1100"/>
      <c r="AC47" s="1100"/>
      <c r="AD47" s="1100"/>
      <c r="AE47" s="1101"/>
      <c r="AF47" s="1102"/>
      <c r="AG47" s="1100"/>
      <c r="AJ47" s="1100"/>
      <c r="AN47" s="1100"/>
      <c r="AO47" s="1101"/>
      <c r="AP47" s="1101"/>
      <c r="AQ47" s="1100"/>
      <c r="AR47" s="149"/>
      <c r="AS47" s="149"/>
      <c r="AT47" s="149"/>
      <c r="AU47" s="1100"/>
      <c r="AV47" s="149"/>
      <c r="AW47" s="149"/>
      <c r="AX47" s="149"/>
      <c r="AY47" s="149"/>
      <c r="AZ47" s="149"/>
      <c r="BA47" s="1100"/>
      <c r="BB47" s="1100"/>
      <c r="BC47" s="1100"/>
      <c r="BD47" s="1100"/>
      <c r="BE47" s="149"/>
      <c r="BF47" s="149"/>
      <c r="BG47" s="149"/>
      <c r="BH47" s="1100"/>
      <c r="BI47" s="1100"/>
      <c r="BJ47" s="149"/>
      <c r="BK47" s="149"/>
      <c r="BL47" s="149"/>
      <c r="BM47" s="1100"/>
      <c r="BN47" s="1101"/>
      <c r="BO47" s="1089"/>
      <c r="BP47" s="1089"/>
      <c r="BQ47" s="1087"/>
      <c r="BR47" s="1087"/>
      <c r="BS47" s="1087"/>
      <c r="BT47" s="1087"/>
      <c r="BU47" s="1087"/>
      <c r="BV47" s="1087"/>
      <c r="BW47" s="1087"/>
      <c r="BX47" s="1087"/>
      <c r="BY47" s="1089"/>
      <c r="BZ47" s="1089"/>
      <c r="CA47" s="1087"/>
      <c r="CF47" s="1088"/>
      <c r="CG47" s="1088"/>
      <c r="CH47" s="1088"/>
      <c r="CI47" s="1088"/>
      <c r="CJ47" s="1088"/>
      <c r="CK47" s="1088"/>
      <c r="CL47" s="1088"/>
      <c r="CN47" s="149"/>
      <c r="CO47" s="149"/>
      <c r="CP47" s="149"/>
      <c r="CQ47" s="149"/>
      <c r="CR47" s="149"/>
      <c r="CS47" s="149"/>
      <c r="CT47" s="149"/>
      <c r="CV47" s="1089"/>
      <c r="CW47" s="1089"/>
      <c r="CX47" s="1087"/>
      <c r="CZ47" s="1089"/>
      <c r="DA47" s="1089"/>
      <c r="DB47" s="1087"/>
      <c r="DE47" s="149"/>
      <c r="DF47" s="149"/>
      <c r="DG47" s="149"/>
      <c r="DH47" s="149"/>
      <c r="DI47" s="149"/>
      <c r="DJ47" s="149"/>
      <c r="DM47" s="1103">
        <f t="shared" si="20"/>
        <v>0</v>
      </c>
    </row>
    <row r="48" spans="5:117" s="146" customFormat="1" ht="18" x14ac:dyDescent="0.25">
      <c r="E48" s="1099"/>
      <c r="H48" s="1100"/>
      <c r="I48" s="1100"/>
      <c r="J48" s="1100"/>
      <c r="K48" s="1101"/>
      <c r="L48" s="1101"/>
      <c r="M48" s="1100"/>
      <c r="N48" s="1101"/>
      <c r="O48" s="1101"/>
      <c r="P48" s="1100"/>
      <c r="Q48" s="1100"/>
      <c r="R48" s="1100"/>
      <c r="U48" s="1100"/>
      <c r="X48" s="1100"/>
      <c r="AA48" s="1100"/>
      <c r="AB48" s="1100"/>
      <c r="AC48" s="1100"/>
      <c r="AD48" s="1100"/>
      <c r="AE48" s="1101"/>
      <c r="AF48" s="1102"/>
      <c r="AG48" s="1100"/>
      <c r="AJ48" s="1100"/>
      <c r="AN48" s="1100"/>
      <c r="AO48" s="1101"/>
      <c r="AP48" s="1101"/>
      <c r="AQ48" s="1100"/>
      <c r="AR48" s="149"/>
      <c r="AS48" s="149"/>
      <c r="AT48" s="149"/>
      <c r="AU48" s="1100"/>
      <c r="AV48" s="149"/>
      <c r="AW48" s="149"/>
      <c r="AX48" s="149"/>
      <c r="AY48" s="149"/>
      <c r="AZ48" s="149"/>
      <c r="BA48" s="1100"/>
      <c r="BB48" s="1100"/>
      <c r="BC48" s="1100"/>
      <c r="BD48" s="1100"/>
      <c r="BE48" s="149"/>
      <c r="BF48" s="149"/>
      <c r="BG48" s="149"/>
      <c r="BH48" s="1100"/>
      <c r="BI48" s="1100"/>
      <c r="BJ48" s="149"/>
      <c r="BK48" s="149"/>
      <c r="BL48" s="149"/>
      <c r="BM48" s="1100"/>
      <c r="BN48" s="1101"/>
      <c r="BO48" s="1089"/>
      <c r="BP48" s="1089"/>
      <c r="BQ48" s="1087"/>
      <c r="BR48" s="1087"/>
      <c r="BS48" s="1087"/>
      <c r="BT48" s="1087"/>
      <c r="BU48" s="1087"/>
      <c r="BV48" s="1087"/>
      <c r="BW48" s="1087"/>
      <c r="BX48" s="1087"/>
      <c r="BY48" s="1089"/>
      <c r="BZ48" s="1089"/>
      <c r="CA48" s="1087"/>
      <c r="CF48" s="1088"/>
      <c r="CG48" s="1088"/>
      <c r="CH48" s="1088"/>
      <c r="CI48" s="1088"/>
      <c r="CJ48" s="1088"/>
      <c r="CK48" s="1088"/>
      <c r="CL48" s="1088"/>
      <c r="CN48" s="149"/>
      <c r="CO48" s="149"/>
      <c r="CP48" s="149"/>
      <c r="CQ48" s="149"/>
      <c r="CR48" s="149"/>
      <c r="CS48" s="149"/>
      <c r="CT48" s="149"/>
      <c r="CV48" s="1089"/>
      <c r="CW48" s="1089"/>
      <c r="CX48" s="1087"/>
      <c r="CZ48" s="1089"/>
      <c r="DA48" s="1089"/>
      <c r="DB48" s="1087"/>
      <c r="DE48" s="149"/>
      <c r="DF48" s="149"/>
      <c r="DG48" s="149"/>
      <c r="DH48" s="149"/>
      <c r="DI48" s="149"/>
      <c r="DJ48" s="149"/>
      <c r="DM48" s="1103">
        <f t="shared" si="20"/>
        <v>0</v>
      </c>
    </row>
    <row r="49" spans="1:117" s="146" customFormat="1" ht="18" x14ac:dyDescent="0.25">
      <c r="E49" s="1099"/>
      <c r="H49" s="1100"/>
      <c r="I49" s="1100"/>
      <c r="J49" s="1100"/>
      <c r="K49" s="1101"/>
      <c r="L49" s="1101"/>
      <c r="M49" s="1100"/>
      <c r="N49" s="1101"/>
      <c r="O49" s="1101"/>
      <c r="P49" s="1100"/>
      <c r="Q49" s="1100"/>
      <c r="R49" s="1100"/>
      <c r="U49" s="1100"/>
      <c r="X49" s="1100"/>
      <c r="AA49" s="1100"/>
      <c r="AB49" s="1100"/>
      <c r="AC49" s="1100"/>
      <c r="AD49" s="1100"/>
      <c r="AE49" s="1101"/>
      <c r="AF49" s="1102"/>
      <c r="AG49" s="1100"/>
      <c r="AJ49" s="1100"/>
      <c r="AN49" s="1100"/>
      <c r="AO49" s="1101"/>
      <c r="AP49" s="1101"/>
      <c r="AQ49" s="1100"/>
      <c r="AR49" s="149"/>
      <c r="AS49" s="149"/>
      <c r="AT49" s="149"/>
      <c r="AU49" s="1100"/>
      <c r="AV49" s="149"/>
      <c r="AW49" s="149"/>
      <c r="AX49" s="149"/>
      <c r="AY49" s="149"/>
      <c r="AZ49" s="149"/>
      <c r="BA49" s="1100"/>
      <c r="BB49" s="1100"/>
      <c r="BC49" s="1100"/>
      <c r="BD49" s="1100"/>
      <c r="BE49" s="149"/>
      <c r="BF49" s="149"/>
      <c r="BG49" s="149"/>
      <c r="BH49" s="1100"/>
      <c r="BI49" s="1100"/>
      <c r="BJ49" s="149"/>
      <c r="BK49" s="149"/>
      <c r="BL49" s="149"/>
      <c r="BM49" s="1100"/>
      <c r="BN49" s="1101"/>
      <c r="BO49" s="1089"/>
      <c r="BP49" s="1089"/>
      <c r="BQ49" s="1087"/>
      <c r="BR49" s="1087"/>
      <c r="BS49" s="1087"/>
      <c r="BT49" s="1087"/>
      <c r="BU49" s="1087"/>
      <c r="BV49" s="1087"/>
      <c r="BW49" s="1087"/>
      <c r="BX49" s="1087"/>
      <c r="BY49" s="1089"/>
      <c r="BZ49" s="1089"/>
      <c r="CA49" s="1087"/>
      <c r="CF49" s="1088"/>
      <c r="CG49" s="1088"/>
      <c r="CH49" s="1088"/>
      <c r="CI49" s="1088"/>
      <c r="CJ49" s="1088"/>
      <c r="CK49" s="1088"/>
      <c r="CL49" s="1088"/>
      <c r="CN49" s="149"/>
      <c r="CO49" s="149"/>
      <c r="CP49" s="149"/>
      <c r="CQ49" s="149"/>
      <c r="CR49" s="149"/>
      <c r="CS49" s="149"/>
      <c r="CT49" s="149"/>
      <c r="CV49" s="1089"/>
      <c r="CW49" s="1089"/>
      <c r="CX49" s="1087"/>
      <c r="CZ49" s="1089"/>
      <c r="DA49" s="1089"/>
      <c r="DB49" s="1087"/>
      <c r="DE49" s="149"/>
      <c r="DF49" s="149"/>
      <c r="DG49" s="149"/>
      <c r="DH49" s="149"/>
      <c r="DI49" s="149"/>
      <c r="DJ49" s="149"/>
      <c r="DM49" s="1103">
        <f t="shared" si="20"/>
        <v>0</v>
      </c>
    </row>
    <row r="50" spans="1:117" s="146" customFormat="1" ht="18" x14ac:dyDescent="0.25">
      <c r="E50" s="1099"/>
      <c r="H50" s="1100"/>
      <c r="I50" s="1100"/>
      <c r="J50" s="1100"/>
      <c r="K50" s="1101"/>
      <c r="L50" s="1101"/>
      <c r="M50" s="1100"/>
      <c r="N50" s="1101"/>
      <c r="O50" s="1101"/>
      <c r="P50" s="1100"/>
      <c r="Q50" s="1100"/>
      <c r="R50" s="1100"/>
      <c r="U50" s="1100"/>
      <c r="X50" s="1100"/>
      <c r="AA50" s="1100"/>
      <c r="AB50" s="1100"/>
      <c r="AC50" s="1100"/>
      <c r="AD50" s="1100"/>
      <c r="AE50" s="1101"/>
      <c r="AF50" s="1102"/>
      <c r="AG50" s="1100"/>
      <c r="AJ50" s="1100"/>
      <c r="AN50" s="1100"/>
      <c r="AO50" s="1101"/>
      <c r="AP50" s="1101"/>
      <c r="AQ50" s="1100"/>
      <c r="AR50" s="149"/>
      <c r="AS50" s="149"/>
      <c r="AT50" s="149"/>
      <c r="AU50" s="1100"/>
      <c r="AV50" s="149"/>
      <c r="AW50" s="149"/>
      <c r="AX50" s="149"/>
      <c r="AY50" s="149"/>
      <c r="AZ50" s="149"/>
      <c r="BA50" s="1100"/>
      <c r="BB50" s="1100"/>
      <c r="BC50" s="1100"/>
      <c r="BD50" s="1100"/>
      <c r="BE50" s="149"/>
      <c r="BF50" s="149"/>
      <c r="BG50" s="149"/>
      <c r="BH50" s="1100"/>
      <c r="BI50" s="1100"/>
      <c r="BJ50" s="149"/>
      <c r="BK50" s="149"/>
      <c r="BL50" s="149"/>
      <c r="BM50" s="1100"/>
      <c r="BN50" s="1101"/>
      <c r="BO50" s="1089"/>
      <c r="BP50" s="1089"/>
      <c r="BQ50" s="1087"/>
      <c r="BR50" s="1087"/>
      <c r="BS50" s="1087"/>
      <c r="BT50" s="1087"/>
      <c r="BU50" s="1087"/>
      <c r="BV50" s="1087"/>
      <c r="BW50" s="1087"/>
      <c r="BX50" s="1087"/>
      <c r="BY50" s="1089"/>
      <c r="BZ50" s="1089"/>
      <c r="CA50" s="1087"/>
      <c r="CF50" s="1088"/>
      <c r="CG50" s="1088"/>
      <c r="CH50" s="1088"/>
      <c r="CI50" s="1088"/>
      <c r="CJ50" s="1088"/>
      <c r="CK50" s="1088"/>
      <c r="CL50" s="1088"/>
      <c r="CN50" s="149"/>
      <c r="CO50" s="149"/>
      <c r="CP50" s="149"/>
      <c r="CQ50" s="149"/>
      <c r="CR50" s="149"/>
      <c r="CS50" s="149"/>
      <c r="CT50" s="149"/>
      <c r="CV50" s="1089"/>
      <c r="CW50" s="1089"/>
      <c r="CX50" s="1087"/>
      <c r="CZ50" s="1089"/>
      <c r="DA50" s="1089"/>
      <c r="DB50" s="1087"/>
      <c r="DE50" s="149"/>
      <c r="DF50" s="149"/>
      <c r="DG50" s="149"/>
      <c r="DH50" s="149"/>
      <c r="DI50" s="149"/>
      <c r="DJ50" s="149"/>
      <c r="DM50" s="1103">
        <f t="shared" si="20"/>
        <v>0</v>
      </c>
    </row>
    <row r="51" spans="1:117" s="146" customFormat="1" ht="18" x14ac:dyDescent="0.25">
      <c r="E51" s="1099"/>
      <c r="H51" s="1100"/>
      <c r="I51" s="1100"/>
      <c r="J51" s="1100"/>
      <c r="K51" s="1101"/>
      <c r="L51" s="1101"/>
      <c r="M51" s="1100"/>
      <c r="N51" s="1101"/>
      <c r="O51" s="1101"/>
      <c r="P51" s="1100"/>
      <c r="Q51" s="1100"/>
      <c r="R51" s="1100"/>
      <c r="U51" s="1100"/>
      <c r="X51" s="1100"/>
      <c r="AA51" s="1100"/>
      <c r="AB51" s="1100"/>
      <c r="AC51" s="1100"/>
      <c r="AD51" s="1100"/>
      <c r="AE51" s="1101"/>
      <c r="AF51" s="1102"/>
      <c r="AG51" s="1100"/>
      <c r="AJ51" s="1100"/>
      <c r="AN51" s="1100"/>
      <c r="AO51" s="1101"/>
      <c r="AP51" s="1101"/>
      <c r="AQ51" s="1100"/>
      <c r="AR51" s="149"/>
      <c r="AS51" s="149"/>
      <c r="AT51" s="149"/>
      <c r="AU51" s="1100"/>
      <c r="AV51" s="149"/>
      <c r="AW51" s="149"/>
      <c r="AX51" s="149"/>
      <c r="AY51" s="149"/>
      <c r="AZ51" s="149"/>
      <c r="BA51" s="1100"/>
      <c r="BB51" s="1100"/>
      <c r="BC51" s="1100"/>
      <c r="BD51" s="1100"/>
      <c r="BE51" s="149"/>
      <c r="BF51" s="149"/>
      <c r="BG51" s="149"/>
      <c r="BH51" s="1100"/>
      <c r="BI51" s="1100"/>
      <c r="BJ51" s="149"/>
      <c r="BK51" s="149"/>
      <c r="BL51" s="149"/>
      <c r="BM51" s="1100"/>
      <c r="BN51" s="1101"/>
      <c r="BO51" s="1089"/>
      <c r="BP51" s="1089"/>
      <c r="BQ51" s="1087"/>
      <c r="BR51" s="1087"/>
      <c r="BS51" s="1087"/>
      <c r="BT51" s="1087"/>
      <c r="BU51" s="1087"/>
      <c r="BV51" s="1087"/>
      <c r="BW51" s="1087"/>
      <c r="BX51" s="1087"/>
      <c r="BY51" s="1089"/>
      <c r="BZ51" s="1089"/>
      <c r="CA51" s="1087"/>
      <c r="CF51" s="1088"/>
      <c r="CG51" s="1088"/>
      <c r="CH51" s="1088"/>
      <c r="CI51" s="1088"/>
      <c r="CJ51" s="1088"/>
      <c r="CK51" s="1088"/>
      <c r="CL51" s="1088"/>
      <c r="CN51" s="149"/>
      <c r="CO51" s="149"/>
      <c r="CP51" s="149"/>
      <c r="CQ51" s="149"/>
      <c r="CR51" s="149"/>
      <c r="CS51" s="149"/>
      <c r="CT51" s="149"/>
      <c r="CV51" s="1089"/>
      <c r="CW51" s="1089"/>
      <c r="CX51" s="1087"/>
      <c r="CZ51" s="1089"/>
      <c r="DA51" s="1089"/>
      <c r="DB51" s="1087"/>
      <c r="DE51" s="149"/>
      <c r="DF51" s="149"/>
      <c r="DG51" s="149"/>
      <c r="DH51" s="149"/>
      <c r="DI51" s="149"/>
      <c r="DJ51" s="149"/>
      <c r="DM51" s="1103">
        <f t="shared" si="20"/>
        <v>0</v>
      </c>
    </row>
    <row r="52" spans="1:117" s="146" customFormat="1" ht="18" x14ac:dyDescent="0.25">
      <c r="E52" s="1099"/>
      <c r="H52" s="1100"/>
      <c r="I52" s="1100"/>
      <c r="J52" s="1100"/>
      <c r="K52" s="1101"/>
      <c r="L52" s="1101"/>
      <c r="M52" s="1100"/>
      <c r="N52" s="1101"/>
      <c r="O52" s="1101"/>
      <c r="P52" s="1100"/>
      <c r="Q52" s="1100"/>
      <c r="R52" s="1100"/>
      <c r="U52" s="1100"/>
      <c r="X52" s="1100"/>
      <c r="AA52" s="1100"/>
      <c r="AB52" s="1100"/>
      <c r="AC52" s="1100"/>
      <c r="AD52" s="1100"/>
      <c r="AE52" s="1101"/>
      <c r="AF52" s="1102"/>
      <c r="AG52" s="1100"/>
      <c r="AJ52" s="1100"/>
      <c r="AN52" s="1100"/>
      <c r="AO52" s="1101"/>
      <c r="AP52" s="1101"/>
      <c r="AQ52" s="1100"/>
      <c r="AR52" s="149"/>
      <c r="AS52" s="149"/>
      <c r="AT52" s="149"/>
      <c r="AU52" s="1100"/>
      <c r="AV52" s="149"/>
      <c r="AW52" s="149"/>
      <c r="AX52" s="149"/>
      <c r="AY52" s="149"/>
      <c r="AZ52" s="149"/>
      <c r="BA52" s="1100"/>
      <c r="BB52" s="1100"/>
      <c r="BC52" s="1100"/>
      <c r="BD52" s="1100"/>
      <c r="BE52" s="149"/>
      <c r="BF52" s="149"/>
      <c r="BG52" s="149"/>
      <c r="BH52" s="1100"/>
      <c r="BI52" s="1100"/>
      <c r="BJ52" s="149"/>
      <c r="BK52" s="149"/>
      <c r="BL52" s="149"/>
      <c r="BM52" s="1100"/>
      <c r="BN52" s="1101"/>
      <c r="BO52" s="1089"/>
      <c r="BP52" s="1089"/>
      <c r="BQ52" s="1087"/>
      <c r="BR52" s="1087"/>
      <c r="BS52" s="1087"/>
      <c r="BT52" s="1087"/>
      <c r="BU52" s="1087"/>
      <c r="BV52" s="1087"/>
      <c r="BW52" s="1087"/>
      <c r="BX52" s="1087"/>
      <c r="BY52" s="1089"/>
      <c r="BZ52" s="1089"/>
      <c r="CA52" s="1087"/>
      <c r="CF52" s="1088"/>
      <c r="CG52" s="1088"/>
      <c r="CH52" s="1088"/>
      <c r="CI52" s="1088"/>
      <c r="CJ52" s="1088"/>
      <c r="CK52" s="1088"/>
      <c r="CL52" s="1088"/>
      <c r="CN52" s="149"/>
      <c r="CO52" s="149"/>
      <c r="CP52" s="149"/>
      <c r="CQ52" s="149"/>
      <c r="CR52" s="149"/>
      <c r="CS52" s="149"/>
      <c r="CT52" s="149"/>
      <c r="CV52" s="1089"/>
      <c r="CW52" s="1089"/>
      <c r="CX52" s="1087"/>
      <c r="CZ52" s="1089"/>
      <c r="DA52" s="1089"/>
      <c r="DB52" s="1087"/>
      <c r="DE52" s="149"/>
      <c r="DF52" s="149"/>
      <c r="DG52" s="149"/>
      <c r="DH52" s="149"/>
      <c r="DI52" s="149"/>
      <c r="DJ52" s="149"/>
      <c r="DM52" s="1103">
        <f t="shared" si="20"/>
        <v>0</v>
      </c>
    </row>
    <row r="53" spans="1:117" s="146" customFormat="1" ht="18" x14ac:dyDescent="0.25">
      <c r="E53" s="1099"/>
      <c r="H53" s="1100"/>
      <c r="I53" s="1100"/>
      <c r="J53" s="1100"/>
      <c r="K53" s="1101"/>
      <c r="L53" s="1101"/>
      <c r="M53" s="1100"/>
      <c r="N53" s="1101"/>
      <c r="O53" s="1101"/>
      <c r="P53" s="1100"/>
      <c r="Q53" s="1100"/>
      <c r="R53" s="1100"/>
      <c r="U53" s="1100"/>
      <c r="X53" s="1100"/>
      <c r="AA53" s="1100"/>
      <c r="AB53" s="1100"/>
      <c r="AC53" s="1100"/>
      <c r="AD53" s="1100"/>
      <c r="AE53" s="1101"/>
      <c r="AF53" s="1102"/>
      <c r="AG53" s="1100"/>
      <c r="AJ53" s="1100"/>
      <c r="AN53" s="1100"/>
      <c r="AO53" s="1101"/>
      <c r="AP53" s="1101"/>
      <c r="AQ53" s="1100"/>
      <c r="AR53" s="149"/>
      <c r="AS53" s="149"/>
      <c r="AT53" s="149"/>
      <c r="AU53" s="1100"/>
      <c r="AV53" s="149"/>
      <c r="AW53" s="149"/>
      <c r="AX53" s="149"/>
      <c r="AY53" s="149"/>
      <c r="AZ53" s="149"/>
      <c r="BA53" s="1100"/>
      <c r="BB53" s="1100"/>
      <c r="BC53" s="1100"/>
      <c r="BD53" s="1100"/>
      <c r="BE53" s="149"/>
      <c r="BF53" s="149"/>
      <c r="BG53" s="149"/>
      <c r="BH53" s="1100"/>
      <c r="BI53" s="1100"/>
      <c r="BJ53" s="149"/>
      <c r="BK53" s="149"/>
      <c r="BL53" s="149"/>
      <c r="BM53" s="1100"/>
      <c r="BN53" s="1101"/>
      <c r="BO53" s="1089"/>
      <c r="BP53" s="1089"/>
      <c r="BQ53" s="1087"/>
      <c r="BR53" s="1087"/>
      <c r="BS53" s="1087"/>
      <c r="BT53" s="1087"/>
      <c r="BU53" s="1087"/>
      <c r="BV53" s="1087"/>
      <c r="BW53" s="1087"/>
      <c r="BX53" s="1087"/>
      <c r="BY53" s="1089"/>
      <c r="BZ53" s="1089"/>
      <c r="CA53" s="1087"/>
      <c r="CF53" s="1088"/>
      <c r="CG53" s="1088"/>
      <c r="CH53" s="1088"/>
      <c r="CI53" s="1088"/>
      <c r="CJ53" s="1088"/>
      <c r="CK53" s="1088"/>
      <c r="CL53" s="1088"/>
      <c r="CN53" s="149"/>
      <c r="CO53" s="149"/>
      <c r="CP53" s="149"/>
      <c r="CQ53" s="149"/>
      <c r="CR53" s="149"/>
      <c r="CS53" s="149"/>
      <c r="CT53" s="149"/>
      <c r="CV53" s="1089"/>
      <c r="CW53" s="1089"/>
      <c r="CX53" s="1087"/>
      <c r="CZ53" s="1089"/>
      <c r="DA53" s="1089"/>
      <c r="DB53" s="1087"/>
      <c r="DE53" s="149"/>
      <c r="DF53" s="149"/>
      <c r="DG53" s="149"/>
      <c r="DH53" s="149"/>
      <c r="DI53" s="149"/>
      <c r="DJ53" s="149"/>
      <c r="DM53" s="1103">
        <f t="shared" si="20"/>
        <v>0</v>
      </c>
    </row>
    <row r="54" spans="1:117" s="146" customFormat="1" ht="18" x14ac:dyDescent="0.25">
      <c r="E54" s="1099"/>
      <c r="H54" s="1100"/>
      <c r="I54" s="1100"/>
      <c r="J54" s="1100"/>
      <c r="K54" s="1101"/>
      <c r="L54" s="1101"/>
      <c r="M54" s="1100"/>
      <c r="N54" s="1101"/>
      <c r="O54" s="1101"/>
      <c r="P54" s="1100"/>
      <c r="Q54" s="1100"/>
      <c r="R54" s="1100"/>
      <c r="U54" s="1100"/>
      <c r="X54" s="1100"/>
      <c r="AA54" s="1100"/>
      <c r="AB54" s="1100"/>
      <c r="AC54" s="1100"/>
      <c r="AD54" s="1100"/>
      <c r="AE54" s="1101"/>
      <c r="AF54" s="1102"/>
      <c r="AG54" s="1100"/>
      <c r="AJ54" s="1100"/>
      <c r="AN54" s="1100"/>
      <c r="AO54" s="1101"/>
      <c r="AP54" s="1101"/>
      <c r="AQ54" s="1100"/>
      <c r="AR54" s="149"/>
      <c r="AS54" s="149"/>
      <c r="AT54" s="149"/>
      <c r="AU54" s="1100"/>
      <c r="AV54" s="149"/>
      <c r="AW54" s="149"/>
      <c r="AX54" s="149"/>
      <c r="AY54" s="149"/>
      <c r="AZ54" s="149"/>
      <c r="BA54" s="1100"/>
      <c r="BB54" s="1100"/>
      <c r="BC54" s="1100"/>
      <c r="BD54" s="1100"/>
      <c r="BE54" s="149"/>
      <c r="BF54" s="149"/>
      <c r="BG54" s="149"/>
      <c r="BH54" s="1100"/>
      <c r="BI54" s="1100"/>
      <c r="BJ54" s="149"/>
      <c r="BK54" s="149"/>
      <c r="BL54" s="149"/>
      <c r="BM54" s="1100"/>
      <c r="BN54" s="1101"/>
      <c r="BO54" s="1089"/>
      <c r="BP54" s="1089"/>
      <c r="BQ54" s="1087"/>
      <c r="BR54" s="1087"/>
      <c r="BS54" s="1087"/>
      <c r="BT54" s="1087"/>
      <c r="BU54" s="1087"/>
      <c r="BV54" s="1087"/>
      <c r="BW54" s="1087"/>
      <c r="BX54" s="1087"/>
      <c r="BY54" s="1089"/>
      <c r="BZ54" s="1089"/>
      <c r="CA54" s="1087"/>
      <c r="CF54" s="1088"/>
      <c r="CG54" s="1088"/>
      <c r="CH54" s="1088"/>
      <c r="CI54" s="1088"/>
      <c r="CJ54" s="1088"/>
      <c r="CK54" s="1088"/>
      <c r="CL54" s="1088"/>
      <c r="CN54" s="149"/>
      <c r="CO54" s="149"/>
      <c r="CP54" s="149"/>
      <c r="CQ54" s="149"/>
      <c r="CR54" s="149"/>
      <c r="CS54" s="149"/>
      <c r="CT54" s="149"/>
      <c r="CV54" s="1089"/>
      <c r="CW54" s="1089"/>
      <c r="CX54" s="1087"/>
      <c r="CZ54" s="1089"/>
      <c r="DA54" s="1089"/>
      <c r="DB54" s="1087"/>
      <c r="DE54" s="149"/>
      <c r="DF54" s="149"/>
      <c r="DG54" s="149"/>
      <c r="DH54" s="149"/>
      <c r="DI54" s="149"/>
      <c r="DJ54" s="149"/>
      <c r="DM54" s="1103">
        <f t="shared" si="20"/>
        <v>0</v>
      </c>
    </row>
    <row r="55" spans="1:117" s="146" customFormat="1" ht="18" x14ac:dyDescent="0.25">
      <c r="E55" s="1099"/>
      <c r="H55" s="1100"/>
      <c r="I55" s="1100"/>
      <c r="J55" s="1100"/>
      <c r="K55" s="1101"/>
      <c r="L55" s="1101"/>
      <c r="M55" s="1100"/>
      <c r="N55" s="1101"/>
      <c r="O55" s="1101"/>
      <c r="P55" s="1100"/>
      <c r="Q55" s="1100"/>
      <c r="R55" s="1100"/>
      <c r="U55" s="1100"/>
      <c r="X55" s="1100"/>
      <c r="AA55" s="1100"/>
      <c r="AB55" s="1100"/>
      <c r="AC55" s="1100"/>
      <c r="AD55" s="1100"/>
      <c r="AE55" s="1101"/>
      <c r="AF55" s="1102"/>
      <c r="AG55" s="1100"/>
      <c r="AJ55" s="1100"/>
      <c r="AN55" s="1100"/>
      <c r="AO55" s="1101"/>
      <c r="AP55" s="1101"/>
      <c r="AQ55" s="1100"/>
      <c r="AR55" s="149"/>
      <c r="AS55" s="149"/>
      <c r="AT55" s="149"/>
      <c r="AU55" s="1100"/>
      <c r="AV55" s="149"/>
      <c r="AW55" s="149"/>
      <c r="AX55" s="149"/>
      <c r="AY55" s="149"/>
      <c r="AZ55" s="149"/>
      <c r="BA55" s="1100"/>
      <c r="BB55" s="1100"/>
      <c r="BC55" s="1100"/>
      <c r="BD55" s="1100"/>
      <c r="BE55" s="149"/>
      <c r="BF55" s="149"/>
      <c r="BG55" s="149"/>
      <c r="BH55" s="1100"/>
      <c r="BI55" s="1100"/>
      <c r="BJ55" s="149"/>
      <c r="BK55" s="149"/>
      <c r="BL55" s="149"/>
      <c r="BM55" s="1100"/>
      <c r="BN55" s="1101"/>
      <c r="BO55" s="1089"/>
      <c r="BP55" s="1089"/>
      <c r="BQ55" s="1087"/>
      <c r="BR55" s="1087"/>
      <c r="BS55" s="1087"/>
      <c r="BT55" s="1087"/>
      <c r="BU55" s="1087"/>
      <c r="BV55" s="1087"/>
      <c r="BW55" s="1087"/>
      <c r="BX55" s="1087"/>
      <c r="BY55" s="1089"/>
      <c r="BZ55" s="1089"/>
      <c r="CA55" s="1087"/>
      <c r="CF55" s="1088"/>
      <c r="CG55" s="1088"/>
      <c r="CH55" s="1088"/>
      <c r="CI55" s="1088"/>
      <c r="CJ55" s="1088"/>
      <c r="CK55" s="1088"/>
      <c r="CL55" s="1088"/>
      <c r="CN55" s="149"/>
      <c r="CO55" s="149"/>
      <c r="CP55" s="149"/>
      <c r="CQ55" s="149"/>
      <c r="CR55" s="149"/>
      <c r="CS55" s="149"/>
      <c r="CT55" s="149"/>
      <c r="CV55" s="1089"/>
      <c r="CW55" s="1089"/>
      <c r="CX55" s="1087"/>
      <c r="CZ55" s="1089"/>
      <c r="DA55" s="1089"/>
      <c r="DB55" s="1087"/>
      <c r="DE55" s="149"/>
      <c r="DF55" s="149"/>
      <c r="DG55" s="149"/>
      <c r="DH55" s="149"/>
      <c r="DI55" s="149"/>
      <c r="DJ55" s="149"/>
      <c r="DM55" s="1103">
        <f t="shared" si="20"/>
        <v>0</v>
      </c>
    </row>
    <row r="56" spans="1:117" s="146" customFormat="1" ht="18" x14ac:dyDescent="0.25">
      <c r="E56" s="1099"/>
      <c r="H56" s="1100"/>
      <c r="I56" s="1100"/>
      <c r="J56" s="1100"/>
      <c r="K56" s="1101"/>
      <c r="L56" s="1101"/>
      <c r="M56" s="1100"/>
      <c r="N56" s="1101"/>
      <c r="O56" s="1101"/>
      <c r="P56" s="1100"/>
      <c r="Q56" s="1100"/>
      <c r="R56" s="1100"/>
      <c r="U56" s="1100"/>
      <c r="X56" s="1100"/>
      <c r="AA56" s="1100"/>
      <c r="AB56" s="1100"/>
      <c r="AC56" s="1100"/>
      <c r="AD56" s="1100"/>
      <c r="AE56" s="1101"/>
      <c r="AF56" s="1102"/>
      <c r="AG56" s="1100"/>
      <c r="AJ56" s="1100"/>
      <c r="AN56" s="1100"/>
      <c r="AO56" s="1101"/>
      <c r="AP56" s="1101"/>
      <c r="AQ56" s="1100"/>
      <c r="AR56" s="149"/>
      <c r="AS56" s="149"/>
      <c r="AT56" s="149"/>
      <c r="AU56" s="1100"/>
      <c r="AV56" s="149"/>
      <c r="AW56" s="149"/>
      <c r="AX56" s="149"/>
      <c r="AY56" s="149"/>
      <c r="AZ56" s="149"/>
      <c r="BA56" s="1100"/>
      <c r="BB56" s="1100"/>
      <c r="BC56" s="1100"/>
      <c r="BD56" s="1100"/>
      <c r="BE56" s="149"/>
      <c r="BF56" s="149"/>
      <c r="BG56" s="149"/>
      <c r="BH56" s="1100"/>
      <c r="BI56" s="1100"/>
      <c r="BJ56" s="149"/>
      <c r="BK56" s="149"/>
      <c r="BL56" s="149"/>
      <c r="BM56" s="1100"/>
      <c r="BN56" s="1101"/>
      <c r="BO56" s="1089"/>
      <c r="BP56" s="1089"/>
      <c r="BQ56" s="1087"/>
      <c r="BR56" s="1087"/>
      <c r="BS56" s="1087"/>
      <c r="BT56" s="1087"/>
      <c r="BU56" s="1087"/>
      <c r="BV56" s="1087"/>
      <c r="BW56" s="1087"/>
      <c r="BX56" s="1087"/>
      <c r="BY56" s="1089"/>
      <c r="BZ56" s="1089"/>
      <c r="CA56" s="1087"/>
      <c r="CF56" s="1088"/>
      <c r="CG56" s="1088"/>
      <c r="CH56" s="1088"/>
      <c r="CI56" s="1088"/>
      <c r="CJ56" s="1088"/>
      <c r="CK56" s="1088"/>
      <c r="CL56" s="1088"/>
      <c r="CN56" s="149"/>
      <c r="CO56" s="149"/>
      <c r="CP56" s="149"/>
      <c r="CQ56" s="149"/>
      <c r="CR56" s="149"/>
      <c r="CS56" s="149"/>
      <c r="CT56" s="149"/>
      <c r="CV56" s="1089"/>
      <c r="CW56" s="1089"/>
      <c r="CX56" s="1087"/>
      <c r="CZ56" s="1089"/>
      <c r="DA56" s="1089"/>
      <c r="DB56" s="1087"/>
      <c r="DE56" s="149"/>
      <c r="DF56" s="149"/>
      <c r="DG56" s="149"/>
      <c r="DH56" s="149"/>
      <c r="DI56" s="149"/>
      <c r="DJ56" s="149"/>
      <c r="DM56" s="1103">
        <f t="shared" si="20"/>
        <v>0</v>
      </c>
    </row>
    <row r="57" spans="1:117" s="146" customFormat="1" ht="18" x14ac:dyDescent="0.25">
      <c r="E57" s="1099"/>
      <c r="H57" s="1100"/>
      <c r="I57" s="1100"/>
      <c r="J57" s="1100"/>
      <c r="K57" s="1101"/>
      <c r="L57" s="1101"/>
      <c r="M57" s="1100"/>
      <c r="N57" s="1101"/>
      <c r="O57" s="1101"/>
      <c r="P57" s="1100"/>
      <c r="Q57" s="1100"/>
      <c r="R57" s="1100"/>
      <c r="U57" s="1100"/>
      <c r="X57" s="1100"/>
      <c r="AA57" s="1100"/>
      <c r="AB57" s="1100"/>
      <c r="AC57" s="1100"/>
      <c r="AD57" s="1100"/>
      <c r="AE57" s="1101"/>
      <c r="AF57" s="1102"/>
      <c r="AG57" s="1100"/>
      <c r="AJ57" s="1100"/>
      <c r="AN57" s="1100"/>
      <c r="AO57" s="1101"/>
      <c r="AP57" s="1101"/>
      <c r="AQ57" s="1100"/>
      <c r="AR57" s="149"/>
      <c r="AS57" s="149"/>
      <c r="AT57" s="149"/>
      <c r="AU57" s="1100"/>
      <c r="AV57" s="149"/>
      <c r="AW57" s="149"/>
      <c r="AX57" s="149"/>
      <c r="AY57" s="149"/>
      <c r="AZ57" s="149"/>
      <c r="BA57" s="1100"/>
      <c r="BB57" s="1100"/>
      <c r="BC57" s="1100"/>
      <c r="BD57" s="1100"/>
      <c r="BE57" s="149"/>
      <c r="BF57" s="149"/>
      <c r="BG57" s="149"/>
      <c r="BH57" s="1100"/>
      <c r="BI57" s="1100"/>
      <c r="BJ57" s="149"/>
      <c r="BK57" s="149"/>
      <c r="BL57" s="149"/>
      <c r="BM57" s="1100"/>
      <c r="BN57" s="1101"/>
      <c r="BO57" s="1089"/>
      <c r="BP57" s="1089"/>
      <c r="BQ57" s="1087"/>
      <c r="BR57" s="1087"/>
      <c r="BS57" s="1087"/>
      <c r="BT57" s="1087"/>
      <c r="BU57" s="1087"/>
      <c r="BV57" s="1087"/>
      <c r="BW57" s="1087"/>
      <c r="BX57" s="1087"/>
      <c r="BY57" s="1089"/>
      <c r="BZ57" s="1089"/>
      <c r="CA57" s="1087"/>
      <c r="CF57" s="1088"/>
      <c r="CG57" s="1088"/>
      <c r="CH57" s="1088"/>
      <c r="CI57" s="1088"/>
      <c r="CJ57" s="1088"/>
      <c r="CK57" s="1088"/>
      <c r="CL57" s="1088"/>
      <c r="CN57" s="149"/>
      <c r="CO57" s="149"/>
      <c r="CP57" s="149"/>
      <c r="CQ57" s="149"/>
      <c r="CR57" s="149"/>
      <c r="CS57" s="149"/>
      <c r="CT57" s="149"/>
      <c r="CV57" s="1089"/>
      <c r="CW57" s="1089"/>
      <c r="CX57" s="1087"/>
      <c r="CZ57" s="1089"/>
      <c r="DA57" s="1089"/>
      <c r="DB57" s="1087"/>
      <c r="DE57" s="149"/>
      <c r="DF57" s="149"/>
      <c r="DG57" s="149"/>
      <c r="DH57" s="149"/>
      <c r="DI57" s="149"/>
      <c r="DJ57" s="149"/>
      <c r="DM57" s="1103">
        <f t="shared" si="20"/>
        <v>0</v>
      </c>
    </row>
    <row r="58" spans="1:117" s="146" customFormat="1" ht="18" x14ac:dyDescent="0.25">
      <c r="E58" s="1099"/>
      <c r="H58" s="1100"/>
      <c r="I58" s="1100"/>
      <c r="J58" s="1100"/>
      <c r="K58" s="1101"/>
      <c r="L58" s="1101"/>
      <c r="M58" s="1100"/>
      <c r="N58" s="1101"/>
      <c r="O58" s="1101"/>
      <c r="P58" s="1100"/>
      <c r="Q58" s="1100"/>
      <c r="R58" s="1100"/>
      <c r="U58" s="1100"/>
      <c r="X58" s="1100"/>
      <c r="AA58" s="1100"/>
      <c r="AB58" s="1100"/>
      <c r="AC58" s="1100"/>
      <c r="AD58" s="1100"/>
      <c r="AE58" s="1101"/>
      <c r="AF58" s="1102"/>
      <c r="AG58" s="1100"/>
      <c r="AJ58" s="1100"/>
      <c r="AN58" s="1100"/>
      <c r="AO58" s="1101"/>
      <c r="AP58" s="1101"/>
      <c r="AQ58" s="1100"/>
      <c r="AR58" s="149"/>
      <c r="AS58" s="149"/>
      <c r="AT58" s="149"/>
      <c r="AU58" s="1100"/>
      <c r="AV58" s="149"/>
      <c r="AW58" s="149"/>
      <c r="AX58" s="149"/>
      <c r="AY58" s="149"/>
      <c r="AZ58" s="149"/>
      <c r="BA58" s="1100"/>
      <c r="BB58" s="1100"/>
      <c r="BC58" s="1100"/>
      <c r="BD58" s="1100"/>
      <c r="BE58" s="149"/>
      <c r="BF58" s="149"/>
      <c r="BG58" s="149"/>
      <c r="BH58" s="1100"/>
      <c r="BI58" s="1100"/>
      <c r="BJ58" s="149"/>
      <c r="BK58" s="149"/>
      <c r="BL58" s="149"/>
      <c r="BM58" s="1100"/>
      <c r="BN58" s="1101"/>
      <c r="BO58" s="1089"/>
      <c r="BP58" s="1089"/>
      <c r="BQ58" s="1087"/>
      <c r="BR58" s="1087"/>
      <c r="BS58" s="1087"/>
      <c r="BT58" s="1087"/>
      <c r="BU58" s="1087"/>
      <c r="BV58" s="1087"/>
      <c r="BW58" s="1087"/>
      <c r="BX58" s="1087"/>
      <c r="BY58" s="1089"/>
      <c r="BZ58" s="1089"/>
      <c r="CA58" s="1087"/>
      <c r="CF58" s="1088"/>
      <c r="CG58" s="1088"/>
      <c r="CH58" s="1088"/>
      <c r="CI58" s="1088"/>
      <c r="CJ58" s="1088"/>
      <c r="CK58" s="1088"/>
      <c r="CL58" s="1088"/>
      <c r="CN58" s="149"/>
      <c r="CO58" s="149"/>
      <c r="CP58" s="149"/>
      <c r="CQ58" s="149"/>
      <c r="CR58" s="149"/>
      <c r="CS58" s="149"/>
      <c r="CT58" s="149"/>
      <c r="CV58" s="1089"/>
      <c r="CW58" s="1089"/>
      <c r="CX58" s="1087"/>
      <c r="CZ58" s="1089"/>
      <c r="DA58" s="1089"/>
      <c r="DB58" s="1087"/>
      <c r="DE58" s="149"/>
      <c r="DF58" s="149"/>
      <c r="DG58" s="149"/>
      <c r="DH58" s="149"/>
      <c r="DI58" s="149"/>
      <c r="DJ58" s="149"/>
      <c r="DM58" s="1103">
        <f t="shared" si="20"/>
        <v>0</v>
      </c>
    </row>
    <row r="59" spans="1:117" s="146" customFormat="1" ht="18" x14ac:dyDescent="0.25">
      <c r="E59" s="1099"/>
      <c r="H59" s="1100"/>
      <c r="I59" s="1100"/>
      <c r="J59" s="1100"/>
      <c r="K59" s="1101"/>
      <c r="L59" s="1101"/>
      <c r="M59" s="1100"/>
      <c r="N59" s="1101"/>
      <c r="O59" s="1101"/>
      <c r="P59" s="1100"/>
      <c r="Q59" s="1100"/>
      <c r="R59" s="1100"/>
      <c r="U59" s="1100"/>
      <c r="X59" s="1100"/>
      <c r="AA59" s="1100"/>
      <c r="AB59" s="1100"/>
      <c r="AC59" s="1100"/>
      <c r="AD59" s="1100"/>
      <c r="AE59" s="1101"/>
      <c r="AF59" s="1102"/>
      <c r="AG59" s="1100"/>
      <c r="AJ59" s="1100"/>
      <c r="AN59" s="1100"/>
      <c r="AO59" s="1101"/>
      <c r="AP59" s="1101"/>
      <c r="AQ59" s="1100"/>
      <c r="AR59" s="149"/>
      <c r="AS59" s="149"/>
      <c r="AT59" s="149"/>
      <c r="AU59" s="1100"/>
      <c r="AV59" s="149"/>
      <c r="AW59" s="149"/>
      <c r="AX59" s="149"/>
      <c r="AY59" s="149"/>
      <c r="AZ59" s="149"/>
      <c r="BA59" s="1100"/>
      <c r="BB59" s="1100"/>
      <c r="BC59" s="1100"/>
      <c r="BD59" s="1100"/>
      <c r="BE59" s="149"/>
      <c r="BF59" s="149"/>
      <c r="BG59" s="149"/>
      <c r="BH59" s="1100"/>
      <c r="BI59" s="1100"/>
      <c r="BJ59" s="149"/>
      <c r="BK59" s="149"/>
      <c r="BL59" s="149"/>
      <c r="BM59" s="1100"/>
      <c r="BN59" s="1101"/>
      <c r="BO59" s="1089"/>
      <c r="BP59" s="1089"/>
      <c r="BQ59" s="1087"/>
      <c r="BR59" s="1087"/>
      <c r="BS59" s="1087"/>
      <c r="BT59" s="1087"/>
      <c r="BU59" s="1087"/>
      <c r="BV59" s="1087"/>
      <c r="BW59" s="1087"/>
      <c r="BX59" s="1087"/>
      <c r="BY59" s="1089"/>
      <c r="BZ59" s="1089"/>
      <c r="CA59" s="1087"/>
      <c r="CF59" s="1088"/>
      <c r="CG59" s="1088"/>
      <c r="CH59" s="1088"/>
      <c r="CI59" s="1088"/>
      <c r="CJ59" s="1088"/>
      <c r="CK59" s="1088"/>
      <c r="CL59" s="1088"/>
      <c r="CN59" s="149"/>
      <c r="CO59" s="149"/>
      <c r="CP59" s="149"/>
      <c r="CQ59" s="149"/>
      <c r="CR59" s="149"/>
      <c r="CS59" s="149"/>
      <c r="CT59" s="149"/>
      <c r="CV59" s="1089"/>
      <c r="CW59" s="1089"/>
      <c r="CX59" s="1087"/>
      <c r="CZ59" s="1089"/>
      <c r="DA59" s="1089"/>
      <c r="DB59" s="1087"/>
      <c r="DE59" s="149"/>
      <c r="DF59" s="149"/>
      <c r="DG59" s="149"/>
      <c r="DH59" s="149"/>
      <c r="DI59" s="149"/>
      <c r="DJ59" s="149"/>
    </row>
    <row r="60" spans="1:117" ht="18" x14ac:dyDescent="0.2">
      <c r="A60" s="110"/>
    </row>
    <row r="61" spans="1:117" ht="18" x14ac:dyDescent="0.2">
      <c r="A61" s="110"/>
    </row>
    <row r="62" spans="1:117" ht="18" x14ac:dyDescent="0.2">
      <c r="A62" s="110"/>
    </row>
    <row r="63" spans="1:117" ht="18" x14ac:dyDescent="0.2">
      <c r="A63" s="110"/>
    </row>
    <row r="64" spans="1:117" ht="18" x14ac:dyDescent="0.2">
      <c r="A64" s="110"/>
    </row>
    <row r="65" spans="1:117" ht="18" x14ac:dyDescent="0.2">
      <c r="A65" s="110"/>
    </row>
    <row r="66" spans="1:117" ht="18" x14ac:dyDescent="0.2">
      <c r="A66" s="110"/>
    </row>
    <row r="67" spans="1:117" ht="18" x14ac:dyDescent="0.2">
      <c r="A67" s="110"/>
    </row>
    <row r="68" spans="1:117" ht="18" x14ac:dyDescent="0.2">
      <c r="A68" s="110"/>
    </row>
    <row r="69" spans="1:117" ht="18" x14ac:dyDescent="0.2">
      <c r="A69" s="110"/>
    </row>
    <row r="70" spans="1:117" ht="18" x14ac:dyDescent="0.2">
      <c r="A70" s="110"/>
    </row>
    <row r="71" spans="1:117" ht="18" x14ac:dyDescent="0.2">
      <c r="A71" s="110"/>
    </row>
    <row r="72" spans="1:117" ht="18" x14ac:dyDescent="0.2">
      <c r="A72" s="110"/>
    </row>
    <row r="73" spans="1:117" ht="18" x14ac:dyDescent="0.2">
      <c r="A73" s="110"/>
    </row>
    <row r="74" spans="1:117" ht="18" x14ac:dyDescent="0.2">
      <c r="A74" s="110"/>
    </row>
    <row r="75" spans="1:117" s="108" customFormat="1" ht="18" x14ac:dyDescent="0.2">
      <c r="A75" s="972"/>
      <c r="CC75" s="1105"/>
      <c r="CD75" s="109"/>
      <c r="DC75" s="109"/>
      <c r="DD75" s="146"/>
      <c r="DE75" s="146"/>
      <c r="DF75" s="146"/>
      <c r="DG75" s="146"/>
      <c r="DH75" s="146"/>
      <c r="DI75" s="146"/>
      <c r="DJ75" s="146"/>
      <c r="DM75" s="146"/>
    </row>
    <row r="76" spans="1:117" s="108" customFormat="1" ht="18" x14ac:dyDescent="0.2">
      <c r="A76" s="972"/>
      <c r="CC76" s="1105" t="s">
        <v>510</v>
      </c>
      <c r="CD76" s="109"/>
      <c r="DC76" s="109"/>
      <c r="DD76" s="146"/>
      <c r="DE76" s="146"/>
      <c r="DF76" s="146"/>
      <c r="DG76" s="146"/>
      <c r="DH76" s="146"/>
      <c r="DI76" s="146"/>
      <c r="DJ76" s="146"/>
      <c r="DM76" s="146"/>
    </row>
    <row r="77" spans="1:117" ht="18" x14ac:dyDescent="0.2">
      <c r="A77" s="972"/>
      <c r="CC77" s="35" t="s">
        <v>510</v>
      </c>
    </row>
    <row r="78" spans="1:117" ht="18" x14ac:dyDescent="0.2">
      <c r="A78" s="110"/>
    </row>
    <row r="79" spans="1:117" ht="18" x14ac:dyDescent="0.2">
      <c r="A79" s="110"/>
    </row>
    <row r="80" spans="1:117" ht="18" x14ac:dyDescent="0.2">
      <c r="A80" s="110"/>
    </row>
    <row r="81" spans="1:1" ht="18" x14ac:dyDescent="0.2">
      <c r="A81" s="110"/>
    </row>
    <row r="82" spans="1:1" ht="18" x14ac:dyDescent="0.2">
      <c r="A82" s="110"/>
    </row>
    <row r="83" spans="1:1" ht="18" x14ac:dyDescent="0.2">
      <c r="A83" s="110"/>
    </row>
    <row r="84" spans="1:1" ht="18" x14ac:dyDescent="0.2">
      <c r="A84" s="110"/>
    </row>
    <row r="85" spans="1:1" ht="18" x14ac:dyDescent="0.2">
      <c r="A85" s="110"/>
    </row>
    <row r="86" spans="1:1" ht="18" x14ac:dyDescent="0.2">
      <c r="A86" s="110"/>
    </row>
    <row r="87" spans="1:1" ht="18" x14ac:dyDescent="0.2">
      <c r="A87" s="110"/>
    </row>
    <row r="88" spans="1:1" ht="18" x14ac:dyDescent="0.2">
      <c r="A88" s="110"/>
    </row>
    <row r="89" spans="1:1" ht="18" x14ac:dyDescent="0.2">
      <c r="A89" s="110"/>
    </row>
    <row r="90" spans="1:1" ht="18" x14ac:dyDescent="0.2">
      <c r="A90" s="110"/>
    </row>
    <row r="91" spans="1:1" ht="18" x14ac:dyDescent="0.2">
      <c r="A91" s="110"/>
    </row>
    <row r="92" spans="1:1" ht="18" x14ac:dyDescent="0.2">
      <c r="A92" s="110"/>
    </row>
    <row r="93" spans="1:1" ht="18" x14ac:dyDescent="0.2">
      <c r="A93" s="110"/>
    </row>
    <row r="94" spans="1:1" ht="18" x14ac:dyDescent="0.2">
      <c r="A94" s="110"/>
    </row>
    <row r="101" spans="1:117" s="111" customFormat="1" ht="15" thickBot="1" x14ac:dyDescent="0.25">
      <c r="CC101" s="113"/>
      <c r="CD101" s="107"/>
      <c r="DC101" s="107"/>
      <c r="DD101" s="146"/>
      <c r="DE101" s="146"/>
      <c r="DF101" s="146"/>
      <c r="DG101" s="146"/>
      <c r="DH101" s="146"/>
      <c r="DI101" s="146"/>
      <c r="DJ101" s="146"/>
      <c r="DM101" s="146"/>
    </row>
    <row r="106" spans="1:117" s="114" customFormat="1" x14ac:dyDescent="0.2">
      <c r="CC106" s="115"/>
      <c r="CD106" s="33"/>
      <c r="DC106" s="33"/>
      <c r="DD106" s="146"/>
      <c r="DE106" s="146"/>
      <c r="DF106" s="146"/>
      <c r="DG106" s="146"/>
      <c r="DH106" s="146"/>
      <c r="DI106" s="146"/>
      <c r="DJ106" s="146"/>
      <c r="DM106" s="146"/>
    </row>
    <row r="108" spans="1:117" x14ac:dyDescent="0.2">
      <c r="A108" s="116" t="s">
        <v>14</v>
      </c>
      <c r="F108" s="117" t="str">
        <f>КАФЕДРА!F104</f>
        <v>УМ</v>
      </c>
      <c r="G108" s="117" t="str">
        <f>КАФЕДРА!G104</f>
        <v>УМ</v>
      </c>
      <c r="H108" s="117" t="str">
        <f>КАФЕДРА!H104</f>
        <v>УМ</v>
      </c>
      <c r="I108" s="761" t="str">
        <f>КАФЕДРА!I104</f>
        <v>УМ</v>
      </c>
      <c r="J108" s="761" t="str">
        <f>КАФЕДРА!J104</f>
        <v>УМ</v>
      </c>
      <c r="K108" s="117" t="str">
        <f>КАФЕДРА!K104</f>
        <v>УМ</v>
      </c>
      <c r="L108" s="117" t="str">
        <f>КАФЕДРА!L104</f>
        <v>УМ</v>
      </c>
      <c r="M108" s="117" t="str">
        <f>КАФЕДРА!M104</f>
        <v>УМ</v>
      </c>
      <c r="N108" s="117" t="str">
        <f>КАФЕДРА!N104</f>
        <v>УМ</v>
      </c>
      <c r="O108" s="117" t="str">
        <f>КАФЕДРА!O104</f>
        <v>УМ</v>
      </c>
      <c r="P108" s="117" t="str">
        <f>КАФЕДРА!P104</f>
        <v>УМ</v>
      </c>
      <c r="Q108" s="761" t="str">
        <f>КАФЕДРА!Q104</f>
        <v>УМ</v>
      </c>
      <c r="R108" s="761" t="str">
        <f>КАФЕДРА!R104</f>
        <v>УМ</v>
      </c>
      <c r="S108" s="117" t="str">
        <f>КАФЕДРА!S104</f>
        <v>УМ</v>
      </c>
      <c r="T108" s="117" t="str">
        <f>КАФЕДРА!T104</f>
        <v>УМ</v>
      </c>
      <c r="U108" s="117" t="str">
        <f>КАФЕДРА!U104</f>
        <v>УМ</v>
      </c>
      <c r="V108" s="117" t="str">
        <f>КАФЕДРА!V104</f>
        <v>УМ</v>
      </c>
      <c r="W108" s="117" t="str">
        <f>КАФЕДРА!W104</f>
        <v>УМ</v>
      </c>
      <c r="X108" s="117" t="str">
        <f>КАФЕДРА!X104</f>
        <v>УМ</v>
      </c>
      <c r="Y108" s="117" t="str">
        <f>КАФЕДРА!Y104</f>
        <v>УМ</v>
      </c>
      <c r="Z108" s="117" t="str">
        <f>КАФЕДРА!Z104</f>
        <v>УМ</v>
      </c>
      <c r="AA108" s="117" t="str">
        <f>КАФЕДРА!AA104</f>
        <v>УМ</v>
      </c>
      <c r="AB108" s="761" t="str">
        <f>КАФЕДРА!AB104</f>
        <v>УМ</v>
      </c>
      <c r="AC108" s="761" t="str">
        <f>КАФЕДРА!AC104</f>
        <v>УМ</v>
      </c>
      <c r="AD108" s="761" t="str">
        <f>КАФЕДРА!AD104</f>
        <v>УМ</v>
      </c>
      <c r="AE108" s="117" t="str">
        <f>КАФЕДРА!AH104</f>
        <v>ДПО</v>
      </c>
      <c r="AF108" s="117" t="str">
        <f>КАФЕДРА!AI104</f>
        <v>ДПО</v>
      </c>
      <c r="AG108" s="117" t="str">
        <f>КАФЕДРА!AJ104</f>
        <v>ДПО</v>
      </c>
      <c r="AH108" s="451" t="str">
        <f>КАФЕДРА!AH104</f>
        <v>ДПО</v>
      </c>
      <c r="AI108" s="451" t="str">
        <f>КАФЕДРА!AI104</f>
        <v>ДПО</v>
      </c>
      <c r="AJ108" s="451" t="str">
        <f>КАФЕДРА!AJ104</f>
        <v>ДПО</v>
      </c>
      <c r="AK108" s="118" t="str">
        <f>КАФЕДРА!AK104</f>
        <v>ПОВД</v>
      </c>
      <c r="AL108" s="118" t="str">
        <f>КАФЕДРА!AL104</f>
        <v>ПОВД</v>
      </c>
      <c r="AM108" s="118" t="str">
        <f>КАФЕДРА!AM104</f>
        <v>ПОВД</v>
      </c>
      <c r="AN108" s="118" t="str">
        <f>КАФЕДРА!AN104</f>
        <v>ПОВД</v>
      </c>
      <c r="AO108" s="118" t="str">
        <f>КАФЕДРА!AO104</f>
        <v>ПОВД</v>
      </c>
      <c r="AP108" s="118" t="str">
        <f>КАФЕДРА!AP104</f>
        <v>ПОВД</v>
      </c>
      <c r="AQ108" s="118" t="str">
        <f>КАФЕДРА!AQ104</f>
        <v>ПОВД</v>
      </c>
      <c r="AR108" s="120" t="str">
        <f>КАФЕДРА!AR104</f>
        <v>ЭФ</v>
      </c>
      <c r="AS108" s="120" t="str">
        <f>КАФЕДРА!AS104</f>
        <v>ЭФ</v>
      </c>
      <c r="AT108" s="120" t="str">
        <f>КАФЕДРА!AT104</f>
        <v>ЭФ</v>
      </c>
      <c r="AU108" s="120" t="str">
        <f>КАФЕДРА!AU104</f>
        <v>ЭФ</v>
      </c>
      <c r="AV108" s="120" t="str">
        <f>КАФЕДРА!AV104</f>
        <v>ЭФ</v>
      </c>
      <c r="AW108" s="120" t="str">
        <f>КАФЕДРА!AW104</f>
        <v>ЭФ</v>
      </c>
      <c r="AX108" s="120" t="str">
        <f>КАФЕДРА!AX104</f>
        <v>ЭФ</v>
      </c>
      <c r="AY108" s="120" t="str">
        <f>КАФЕДРА!AY104</f>
        <v>ЭФ</v>
      </c>
      <c r="AZ108" s="120" t="str">
        <f>КАФЕДРА!AZ104</f>
        <v>ЭФ</v>
      </c>
      <c r="BA108" s="120" t="str">
        <f>КАФЕДРА!BA104</f>
        <v>ЭФ</v>
      </c>
      <c r="BB108" s="120" t="str">
        <f>КАФЕДРА!BB104</f>
        <v>ЭФ</v>
      </c>
      <c r="BC108" s="120" t="str">
        <f>КАФЕДРА!BC104</f>
        <v>ЭФ</v>
      </c>
      <c r="BD108" s="120" t="str">
        <f>КАФЕДРА!BD104</f>
        <v>ЭФ</v>
      </c>
      <c r="BE108" s="120" t="str">
        <f>КАФЕДРА!BE104</f>
        <v>ЭФ</v>
      </c>
      <c r="BF108" s="120" t="str">
        <f>КАФЕДРА!BF104</f>
        <v>ЭФ</v>
      </c>
      <c r="BG108" s="120" t="str">
        <f>КАФЕДРА!BG104</f>
        <v>ЭФ</v>
      </c>
      <c r="BH108" s="120" t="str">
        <f>КАФЕДРА!BH104</f>
        <v>ЭФ</v>
      </c>
      <c r="BI108" s="120" t="str">
        <f>КАФЕДРА!BI104</f>
        <v>ЭФ</v>
      </c>
      <c r="BJ108" s="119" t="str">
        <f>КАФЕДРА!BJ104</f>
        <v>К</v>
      </c>
      <c r="BK108" s="119" t="str">
        <f>КАФЕДРА!BK104</f>
        <v>К</v>
      </c>
      <c r="BL108" s="119" t="str">
        <f>КАФЕДРА!BL104</f>
        <v>К</v>
      </c>
      <c r="BM108" s="119" t="str">
        <f>КАФЕДРА!BM104</f>
        <v>К</v>
      </c>
      <c r="BN108" s="119" t="str">
        <f>КАФЕДРА!BN104</f>
        <v>К</v>
      </c>
      <c r="BO108" s="119" t="str">
        <f>КАФЕДРА!BO104</f>
        <v>К</v>
      </c>
      <c r="BP108" s="119" t="str">
        <f>КАФЕДРА!BP104</f>
        <v>К</v>
      </c>
      <c r="BQ108" s="119" t="str">
        <f>КАФЕДРА!BQ104</f>
        <v>К</v>
      </c>
      <c r="BR108" s="762" t="str">
        <f>КАФЕДРА!BR104</f>
        <v>К</v>
      </c>
      <c r="BS108" s="762" t="str">
        <f>КАФЕДРА!BS104</f>
        <v>К</v>
      </c>
      <c r="BT108" s="762" t="str">
        <f>КАФЕДРА!BT104</f>
        <v>К</v>
      </c>
      <c r="BU108" s="762" t="str">
        <f>КАФЕДРА!BU104</f>
        <v>К</v>
      </c>
      <c r="BV108" s="762" t="str">
        <f>КАФЕДРА!BV104</f>
        <v>К</v>
      </c>
      <c r="BW108" s="762" t="str">
        <f>КАФЕДРА!BW104</f>
        <v>К</v>
      </c>
      <c r="BX108" s="762" t="str">
        <f>КАФЕДРА!BX104</f>
        <v>К</v>
      </c>
      <c r="BY108" s="119" t="str">
        <f>КАФЕДРА!BY104</f>
        <v>К</v>
      </c>
      <c r="BZ108" s="119" t="str">
        <f>КАФЕДРА!BZ104</f>
        <v>К</v>
      </c>
      <c r="CA108" s="119" t="str">
        <f>КАФЕДРА!CA104</f>
        <v>К</v>
      </c>
    </row>
    <row r="109" spans="1:117" x14ac:dyDescent="0.2">
      <c r="A109" s="121" t="s">
        <v>39</v>
      </c>
      <c r="F109" s="122" t="str">
        <f>КАФЕДРА!F105</f>
        <v>УМбезДПО</v>
      </c>
      <c r="G109" s="122" t="str">
        <f>КАФЕДРА!G105</f>
        <v>УМбезДПО</v>
      </c>
      <c r="H109" s="122" t="str">
        <f>КАФЕДРА!H105</f>
        <v>УМбезДПО</v>
      </c>
      <c r="I109" s="763" t="str">
        <f>КАФЕДРА!I105</f>
        <v>УМбезДПО</v>
      </c>
      <c r="J109" s="763" t="str">
        <f>КАФЕДРА!J105</f>
        <v>УМбезДПО</v>
      </c>
      <c r="K109" s="122" t="str">
        <f>КАФЕДРА!K105</f>
        <v>УМбезДПО</v>
      </c>
      <c r="L109" s="122" t="str">
        <f>КАФЕДРА!L105</f>
        <v>УМбезДПО</v>
      </c>
      <c r="M109" s="122" t="str">
        <f>КАФЕДРА!M105</f>
        <v>УМбезДПО</v>
      </c>
      <c r="N109" s="122" t="str">
        <f>КАФЕДРА!N105</f>
        <v>УМбезДПО</v>
      </c>
      <c r="O109" s="122" t="str">
        <f>КАФЕДРА!O105</f>
        <v>УМбезДПО</v>
      </c>
      <c r="P109" s="122" t="str">
        <f>КАФЕДРА!P105</f>
        <v>УМбезДПО</v>
      </c>
      <c r="Q109" s="763" t="str">
        <f>КАФЕДРА!Q105</f>
        <v>УМбезДПО</v>
      </c>
      <c r="R109" s="763" t="str">
        <f>КАФЕДРА!R105</f>
        <v>УМбезДПО</v>
      </c>
      <c r="S109" s="122" t="str">
        <f>КАФЕДРА!S105</f>
        <v>УМбезДПО</v>
      </c>
      <c r="T109" s="122" t="str">
        <f>КАФЕДРА!T105</f>
        <v>УМбезДПО</v>
      </c>
      <c r="U109" s="122" t="str">
        <f>КАФЕДРА!U105</f>
        <v>УМбезДПО</v>
      </c>
      <c r="V109" s="122" t="str">
        <f>КАФЕДРА!V105</f>
        <v>УМбезДПО</v>
      </c>
      <c r="W109" s="122" t="str">
        <f>КАФЕДРА!W105</f>
        <v>УМбезДПО</v>
      </c>
      <c r="X109" s="122" t="str">
        <f>КАФЕДРА!X105</f>
        <v>УМбезДПО</v>
      </c>
      <c r="Y109" s="122" t="str">
        <f>КАФЕДРА!Y105</f>
        <v>УМбезДПО</v>
      </c>
      <c r="Z109" s="122" t="str">
        <f>КАФЕДРА!Z105</f>
        <v>УМбезДПО</v>
      </c>
      <c r="AA109" s="122" t="str">
        <f>КАФЕДРА!AA105</f>
        <v>УМбезДПО</v>
      </c>
      <c r="AB109" s="763" t="str">
        <f>КАФЕДРА!AB105</f>
        <v>УМбезДПО</v>
      </c>
      <c r="AC109" s="763" t="str">
        <f>КАФЕДРА!AC105</f>
        <v>УМбезДПО</v>
      </c>
      <c r="AD109" s="763" t="str">
        <f>КАФЕДРА!AD105</f>
        <v>УМбезДПО</v>
      </c>
      <c r="AE109" s="123" t="str">
        <f>КАФЕДРА!AH105</f>
        <v>ДПО</v>
      </c>
      <c r="AF109" s="123" t="str">
        <f>КАФЕДРА!AI105</f>
        <v>ДПО</v>
      </c>
      <c r="AG109" s="123" t="str">
        <f>КАФЕДРА!AJ105</f>
        <v>ДПО</v>
      </c>
      <c r="AH109" s="451" t="str">
        <f>КАФЕДРА!AH105</f>
        <v>ДПО</v>
      </c>
      <c r="AI109" s="451" t="str">
        <f>КАФЕДРА!AI105</f>
        <v>ДПО</v>
      </c>
      <c r="AJ109" s="451" t="str">
        <f>КАФЕДРА!AJ105</f>
        <v>ДПО</v>
      </c>
      <c r="AK109" s="122" t="str">
        <f>КАФЕДРА!AK105</f>
        <v>о</v>
      </c>
      <c r="AL109" s="122" t="str">
        <f>КАФЕДРА!AL105</f>
        <v>о</v>
      </c>
      <c r="AM109" s="122" t="str">
        <f>КАФЕДРА!AM105</f>
        <v>о</v>
      </c>
      <c r="AN109" s="122" t="str">
        <f>КАФЕДРА!AN105</f>
        <v>о</v>
      </c>
      <c r="AO109" s="122" t="str">
        <f>КАФЕДРА!AO105</f>
        <v>о</v>
      </c>
      <c r="AP109" s="122" t="str">
        <f>КАФЕДРА!AP105</f>
        <v>о</v>
      </c>
      <c r="AQ109" s="122" t="str">
        <f>КАФЕДРА!AQ105</f>
        <v>о</v>
      </c>
      <c r="AR109" s="122" t="str">
        <f>КАФЕДРА!AR105</f>
        <v>о</v>
      </c>
      <c r="AS109" s="122" t="str">
        <f>КАФЕДРА!AS105</f>
        <v>о</v>
      </c>
      <c r="AT109" s="122" t="str">
        <f>КАФЕДРА!AT105</f>
        <v>о</v>
      </c>
      <c r="AU109" s="122" t="str">
        <f>КАФЕДРА!AU105</f>
        <v>о</v>
      </c>
      <c r="AV109" s="122" t="str">
        <f>КАФЕДРА!AV105</f>
        <v>о</v>
      </c>
      <c r="AW109" s="122" t="str">
        <f>КАФЕДРА!AW105</f>
        <v>о</v>
      </c>
      <c r="AX109" s="122" t="str">
        <f>КАФЕДРА!AX105</f>
        <v>о</v>
      </c>
      <c r="AY109" s="122" t="str">
        <f>КАФЕДРА!AY105</f>
        <v>о</v>
      </c>
      <c r="AZ109" s="122" t="str">
        <f>КАФЕДРА!AZ105</f>
        <v>о</v>
      </c>
      <c r="BA109" s="122" t="str">
        <f>КАФЕДРА!BA105</f>
        <v>о</v>
      </c>
      <c r="BB109" s="122" t="str">
        <f>КАФЕДРА!BB105</f>
        <v>о</v>
      </c>
      <c r="BC109" s="122" t="str">
        <f>КАФЕДРА!BC105</f>
        <v>о</v>
      </c>
      <c r="BD109" s="122" t="str">
        <f>КАФЕДРА!BD105</f>
        <v>о</v>
      </c>
      <c r="BE109" s="122" t="str">
        <f>КАФЕДРА!BE105</f>
        <v>о</v>
      </c>
      <c r="BF109" s="122" t="str">
        <f>КАФЕДРА!BF105</f>
        <v>о</v>
      </c>
      <c r="BG109" s="122" t="str">
        <f>КАФЕДРА!BG105</f>
        <v>о</v>
      </c>
      <c r="BH109" s="122" t="str">
        <f>КАФЕДРА!BH105</f>
        <v>о</v>
      </c>
      <c r="BI109" s="122" t="str">
        <f>КАФЕДРА!BI105</f>
        <v>о</v>
      </c>
      <c r="BJ109" s="122" t="str">
        <f>КАФЕДРА!BJ105</f>
        <v>о</v>
      </c>
      <c r="BK109" s="122" t="str">
        <f>КАФЕДРА!BK105</f>
        <v>о</v>
      </c>
      <c r="BL109" s="122" t="str">
        <f>КАФЕДРА!BL105</f>
        <v>о</v>
      </c>
      <c r="BM109" s="122" t="str">
        <f>КАФЕДРА!BM105</f>
        <v>о</v>
      </c>
      <c r="BN109" s="122" t="str">
        <f>КАФЕДРА!BN105</f>
        <v>о</v>
      </c>
      <c r="BO109" s="122" t="str">
        <f>КАФЕДРА!BO105</f>
        <v>о</v>
      </c>
      <c r="BP109" s="122" t="str">
        <f>КАФЕДРА!BP105</f>
        <v>о</v>
      </c>
      <c r="BQ109" s="122" t="str">
        <f>КАФЕДРА!BQ105</f>
        <v>о</v>
      </c>
      <c r="BR109" s="763" t="str">
        <f>КАФЕДРА!BR105</f>
        <v>о</v>
      </c>
      <c r="BS109" s="763" t="str">
        <f>КАФЕДРА!BS105</f>
        <v>о</v>
      </c>
      <c r="BT109" s="763" t="str">
        <f>КАФЕДРА!BT105</f>
        <v>о</v>
      </c>
      <c r="BU109" s="763" t="str">
        <f>КАФЕДРА!BU105</f>
        <v>о</v>
      </c>
      <c r="BV109" s="763" t="str">
        <f>КАФЕДРА!BV105</f>
        <v>о</v>
      </c>
      <c r="BW109" s="763" t="str">
        <f>КАФЕДРА!BW105</f>
        <v>о</v>
      </c>
      <c r="BX109" s="763" t="str">
        <f>КАФЕДРА!BX105</f>
        <v>о</v>
      </c>
      <c r="BY109" s="122" t="str">
        <f>КАФЕДРА!BY105</f>
        <v>о</v>
      </c>
      <c r="BZ109" s="122" t="str">
        <f>КАФЕДРА!BZ105</f>
        <v>о</v>
      </c>
      <c r="CA109" s="122" t="str">
        <f>КАФЕДРА!CA105</f>
        <v>о</v>
      </c>
    </row>
    <row r="110" spans="1:117" x14ac:dyDescent="0.2">
      <c r="A110" s="58" t="s">
        <v>13</v>
      </c>
      <c r="B110" s="58" t="s">
        <v>35</v>
      </c>
      <c r="C110" s="58" t="s">
        <v>5</v>
      </c>
      <c r="D110" s="58"/>
      <c r="E110" s="58"/>
      <c r="F110" s="125">
        <f>КАФЕДРА!F106</f>
        <v>19</v>
      </c>
      <c r="G110" s="62">
        <f>КАФЕДРА!G106</f>
        <v>11</v>
      </c>
      <c r="H110" s="62">
        <f>КАФЕДРА!H106</f>
        <v>11</v>
      </c>
      <c r="I110" s="62">
        <f>КАФЕДРА!I106</f>
        <v>11</v>
      </c>
      <c r="J110" s="62">
        <f>КАФЕДРА!J106</f>
        <v>11</v>
      </c>
      <c r="K110" s="62">
        <f>КАФЕДРА!K106</f>
        <v>11</v>
      </c>
      <c r="L110" s="62">
        <f>КАФЕДРА!L106</f>
        <v>11</v>
      </c>
      <c r="M110" s="62">
        <f>КАФЕДРА!M106</f>
        <v>11</v>
      </c>
      <c r="N110" s="62">
        <f>КАФЕДРА!N106</f>
        <v>11</v>
      </c>
      <c r="O110" s="62">
        <f>КАФЕДРА!O106</f>
        <v>11</v>
      </c>
      <c r="P110" s="62">
        <f>КАФЕДРА!P106</f>
        <v>11</v>
      </c>
      <c r="Q110" s="62">
        <f>КАФЕДРА!Q106</f>
        <v>11</v>
      </c>
      <c r="R110" s="62">
        <f>КАФЕДРА!R106</f>
        <v>11</v>
      </c>
      <c r="S110" s="62">
        <f>КАФЕДРА!S106</f>
        <v>11</v>
      </c>
      <c r="T110" s="62">
        <f>КАФЕДРА!T106</f>
        <v>11</v>
      </c>
      <c r="U110" s="62">
        <f>КАФЕДРА!U106</f>
        <v>11</v>
      </c>
      <c r="V110" s="62">
        <f>КАФЕДРА!V106</f>
        <v>11</v>
      </c>
      <c r="W110" s="62">
        <f>КАФЕДРА!W106</f>
        <v>11</v>
      </c>
      <c r="X110" s="62">
        <f>КАФЕДРА!X106</f>
        <v>11</v>
      </c>
      <c r="Y110" s="62">
        <f>КАФЕДРА!Y106</f>
        <v>11</v>
      </c>
      <c r="Z110" s="62">
        <f>КАФЕДРА!Z106</f>
        <v>11</v>
      </c>
      <c r="AA110" s="62">
        <f>КАФЕДРА!AA106</f>
        <v>11</v>
      </c>
      <c r="AB110" s="62">
        <f>КАФЕДРА!AB106</f>
        <v>11</v>
      </c>
      <c r="AC110" s="62">
        <f>КАФЕДРА!AC106</f>
        <v>11</v>
      </c>
      <c r="AD110" s="62">
        <f>КАФЕДРА!AD106</f>
        <v>11</v>
      </c>
      <c r="AE110" s="62">
        <f>КАФЕДРА!AE106</f>
        <v>6</v>
      </c>
      <c r="AF110" s="62">
        <f>КАФЕДРА!AF106</f>
        <v>6</v>
      </c>
      <c r="AG110" s="62">
        <f>КАФЕДРА!AG106</f>
        <v>6</v>
      </c>
      <c r="AH110" s="62">
        <f>КАФЕДРА!AH106</f>
        <v>6</v>
      </c>
      <c r="AI110" s="62">
        <f>КАФЕДРА!AI106</f>
        <v>6</v>
      </c>
      <c r="AJ110" s="62">
        <f>КАФЕДРА!AJ106</f>
        <v>6</v>
      </c>
      <c r="AK110" s="58">
        <f>КАФЕДРА!AK106</f>
        <v>8</v>
      </c>
      <c r="AL110" s="58">
        <f>КАФЕДРА!AL106</f>
        <v>8</v>
      </c>
      <c r="AM110" s="58">
        <f>КАФЕДРА!AM106</f>
        <v>8</v>
      </c>
      <c r="AN110" s="58">
        <f>КАФЕДРА!AN106</f>
        <v>8</v>
      </c>
      <c r="AO110" s="58">
        <f>КАФЕДРА!AO106</f>
        <v>8</v>
      </c>
      <c r="AP110" s="58">
        <f>КАФЕДРА!AP106</f>
        <v>8</v>
      </c>
      <c r="AQ110" s="58">
        <f>КАФЕДРА!AQ106</f>
        <v>8</v>
      </c>
      <c r="AR110" s="58">
        <f>КАФЕДРА!AR106</f>
        <v>12</v>
      </c>
      <c r="AS110" s="58">
        <f>КАФЕДРА!AS106</f>
        <v>12</v>
      </c>
      <c r="AT110" s="58">
        <f>КАФЕДРА!AT106</f>
        <v>12</v>
      </c>
      <c r="AU110" s="58">
        <f>КАФЕДРА!AU106</f>
        <v>12</v>
      </c>
      <c r="AV110" s="58">
        <f>КАФЕДРА!AV106</f>
        <v>12</v>
      </c>
      <c r="AW110" s="58">
        <f>КАФЕДРА!AW106</f>
        <v>12</v>
      </c>
      <c r="AX110" s="58">
        <f>КАФЕДРА!AX106</f>
        <v>12</v>
      </c>
      <c r="AY110" s="58">
        <f>КАФЕДРА!AY106</f>
        <v>12</v>
      </c>
      <c r="AZ110" s="58">
        <f>КАФЕДРА!AZ106</f>
        <v>12</v>
      </c>
      <c r="BA110" s="58">
        <f>КАФЕДРА!BA106</f>
        <v>12</v>
      </c>
      <c r="BB110" s="58">
        <f>КАФЕДРА!BB106</f>
        <v>12</v>
      </c>
      <c r="BC110" s="58">
        <f>КАФЕДРА!BC106</f>
        <v>12</v>
      </c>
      <c r="BD110" s="58">
        <f>КАФЕДРА!BD106</f>
        <v>12</v>
      </c>
      <c r="BE110" s="58">
        <f>КАФЕДРА!BE106</f>
        <v>12</v>
      </c>
      <c r="BF110" s="58">
        <f>КАФЕДРА!BF106</f>
        <v>12</v>
      </c>
      <c r="BG110" s="58">
        <f>КАФЕДРА!BG106</f>
        <v>12</v>
      </c>
      <c r="BH110" s="58">
        <f>КАФЕДРА!BH106</f>
        <v>12</v>
      </c>
      <c r="BI110" s="58">
        <f>КАФЕДРА!BI106</f>
        <v>12</v>
      </c>
      <c r="BJ110" s="58">
        <f>КАФЕДРА!BJ106</f>
        <v>18</v>
      </c>
      <c r="BK110" s="58">
        <f>КАФЕДРА!BK106</f>
        <v>18</v>
      </c>
      <c r="BL110" s="58">
        <f>КАФЕДРА!BL106</f>
        <v>18</v>
      </c>
      <c r="BM110" s="58">
        <f>КАФЕДРА!BM106</f>
        <v>18</v>
      </c>
      <c r="BN110" s="58">
        <f>КАФЕДРА!BN106</f>
        <v>18</v>
      </c>
      <c r="BO110" s="58">
        <f>КАФЕДРА!BO106</f>
        <v>18</v>
      </c>
      <c r="BP110" s="58">
        <f>КАФЕДРА!BP106</f>
        <v>18</v>
      </c>
      <c r="BQ110" s="58">
        <f>КАФЕДРА!BQ106</f>
        <v>18</v>
      </c>
      <c r="BR110" s="58">
        <f>КАФЕДРА!BR106</f>
        <v>18</v>
      </c>
      <c r="BS110" s="58">
        <f>КАФЕДРА!BS106</f>
        <v>18</v>
      </c>
      <c r="BT110" s="58">
        <f>КАФЕДРА!BT106</f>
        <v>18</v>
      </c>
      <c r="BU110" s="58">
        <f>КАФЕДРА!BU106</f>
        <v>18</v>
      </c>
      <c r="BV110" s="58">
        <f>КАФЕДРА!BV106</f>
        <v>18</v>
      </c>
      <c r="BW110" s="58">
        <f>КАФЕДРА!BW106</f>
        <v>18</v>
      </c>
      <c r="BX110" s="58">
        <f>КАФЕДРА!BX106</f>
        <v>18</v>
      </c>
      <c r="BY110" s="58">
        <f>КАФЕДРА!BY106</f>
        <v>18</v>
      </c>
      <c r="BZ110" s="58">
        <f>КАФЕДРА!BZ106</f>
        <v>18</v>
      </c>
      <c r="CA110" s="58">
        <f>КАФЕДРА!CA106</f>
        <v>18</v>
      </c>
      <c r="CC110" s="142"/>
    </row>
    <row r="111" spans="1:117" x14ac:dyDescent="0.2">
      <c r="A111" s="58" t="s">
        <v>14</v>
      </c>
      <c r="B111" s="58" t="s">
        <v>35</v>
      </c>
      <c r="C111" s="58" t="s">
        <v>5</v>
      </c>
      <c r="D111" s="58"/>
      <c r="E111" s="58"/>
      <c r="F111" s="137">
        <f>КАФЕДРА!F107</f>
        <v>0</v>
      </c>
      <c r="G111" s="58">
        <f>КАФЕДРА!G107</f>
        <v>0</v>
      </c>
      <c r="H111" s="74">
        <f>КАФЕДРА!H107</f>
        <v>2</v>
      </c>
      <c r="I111" s="58">
        <f>КАФЕДРА!I107</f>
        <v>0</v>
      </c>
      <c r="J111" s="74">
        <f>КАФЕДРА!J107</f>
        <v>2</v>
      </c>
      <c r="K111" s="58">
        <f>КАФЕДРА!K107</f>
        <v>0</v>
      </c>
      <c r="L111" s="58">
        <f>КАФЕДРА!L107</f>
        <v>0</v>
      </c>
      <c r="M111" s="74">
        <f>КАФЕДРА!M107</f>
        <v>1</v>
      </c>
      <c r="N111" s="58">
        <f>КАФЕДРА!N107</f>
        <v>0</v>
      </c>
      <c r="O111" s="58">
        <f>КАФЕДРА!O107</f>
        <v>0</v>
      </c>
      <c r="P111" s="74">
        <f>КАФЕДРА!P107</f>
        <v>1</v>
      </c>
      <c r="Q111" s="60">
        <f>КАФЕДРА!Q107</f>
        <v>0</v>
      </c>
      <c r="R111" s="757">
        <f>КАФЕДРА!R107</f>
        <v>1</v>
      </c>
      <c r="S111" s="58">
        <f>КАФЕДРА!S107</f>
        <v>0</v>
      </c>
      <c r="T111" s="58">
        <f>КАФЕДРА!T107</f>
        <v>0</v>
      </c>
      <c r="U111" s="74">
        <f>КАФЕДРА!U107</f>
        <v>1</v>
      </c>
      <c r="V111" s="58">
        <f>КАФЕДРА!V107</f>
        <v>0</v>
      </c>
      <c r="W111" s="58">
        <f>КАФЕДРА!W107</f>
        <v>0</v>
      </c>
      <c r="X111" s="74">
        <f>КАФЕДРА!X107</f>
        <v>1</v>
      </c>
      <c r="Y111" s="58">
        <f>КАФЕДРА!Y107</f>
        <v>0</v>
      </c>
      <c r="Z111" s="58">
        <f>КАФЕДРА!Z107</f>
        <v>0</v>
      </c>
      <c r="AA111" s="74">
        <f>КАФЕДРА!AA107</f>
        <v>1</v>
      </c>
      <c r="AB111" s="58">
        <f>КАФЕДРА!AB107</f>
        <v>0</v>
      </c>
      <c r="AC111" s="58">
        <f>КАФЕДРА!AC107</f>
        <v>0</v>
      </c>
      <c r="AD111" s="74">
        <f>КАФЕДРА!AD107</f>
        <v>1</v>
      </c>
      <c r="AE111" s="58">
        <f>КАФЕДРА!AE107</f>
        <v>0</v>
      </c>
      <c r="AF111" s="58">
        <f>КАФЕДРА!AF107</f>
        <v>0</v>
      </c>
      <c r="AG111" s="74">
        <f>КАФЕДРА!AG107</f>
        <v>3</v>
      </c>
      <c r="AH111" s="58">
        <f>КАФЕДРА!AH107</f>
        <v>0</v>
      </c>
      <c r="AI111" s="58">
        <f>КАФЕДРА!AI107</f>
        <v>0</v>
      </c>
      <c r="AJ111" s="74">
        <f>КАФЕДРА!AJ107</f>
        <v>3</v>
      </c>
      <c r="AK111" s="58">
        <f>КАФЕДРА!AK107</f>
        <v>0</v>
      </c>
      <c r="AL111" s="58">
        <f>КАФЕДРА!AL107</f>
        <v>0</v>
      </c>
      <c r="AM111" s="58">
        <f>КАФЕДРА!AM107</f>
        <v>0</v>
      </c>
      <c r="AN111" s="757">
        <f>КАФЕДРА!AN107</f>
        <v>6</v>
      </c>
      <c r="AO111" s="58">
        <f>КАФЕДРА!AO107</f>
        <v>0</v>
      </c>
      <c r="AP111" s="58">
        <f>КАФЕДРА!AP107</f>
        <v>0</v>
      </c>
      <c r="AQ111" s="74">
        <f>КАФЕДРА!AQ107</f>
        <v>2</v>
      </c>
      <c r="AR111" s="58">
        <f>КАФЕДРА!AR107</f>
        <v>0</v>
      </c>
      <c r="AS111" s="58">
        <f>КАФЕДРА!AS107</f>
        <v>0</v>
      </c>
      <c r="AT111" s="58">
        <f>КАФЕДРА!AT107</f>
        <v>0</v>
      </c>
      <c r="AU111" s="58">
        <f>КАФЕДРА!AU107</f>
        <v>0</v>
      </c>
      <c r="AV111" s="58">
        <f>КАФЕДРА!AV107</f>
        <v>0</v>
      </c>
      <c r="AW111" s="58">
        <f>КАФЕДРА!AW107</f>
        <v>0</v>
      </c>
      <c r="AX111" s="58">
        <f>КАФЕДРА!AX107</f>
        <v>0</v>
      </c>
      <c r="AY111" s="58">
        <f>КАФЕДРА!AY107</f>
        <v>0</v>
      </c>
      <c r="AZ111" s="58">
        <f>КАФЕДРА!AZ107</f>
        <v>0</v>
      </c>
      <c r="BA111" s="58">
        <f>КАФЕДРА!BA107</f>
        <v>0</v>
      </c>
      <c r="BB111" s="58">
        <f>КАФЕДРА!BB107</f>
        <v>0</v>
      </c>
      <c r="BC111" s="58">
        <f>КАФЕДРА!BC107</f>
        <v>0</v>
      </c>
      <c r="BD111" s="74">
        <f>КАФЕДРА!BD107</f>
        <v>4</v>
      </c>
      <c r="BE111" s="58">
        <f>КАФЕДРА!BE107</f>
        <v>0</v>
      </c>
      <c r="BF111" s="58">
        <f>КАФЕДРА!BF107</f>
        <v>0</v>
      </c>
      <c r="BG111" s="58">
        <f>КАФЕДРА!BG107</f>
        <v>0</v>
      </c>
      <c r="BH111" s="58">
        <f>КАФЕДРА!BH107</f>
        <v>0</v>
      </c>
      <c r="BI111" s="74">
        <f>КАФЕДРА!BI107</f>
        <v>12</v>
      </c>
      <c r="BJ111" s="58">
        <f>КАФЕДРА!BJ107</f>
        <v>0</v>
      </c>
      <c r="BK111" s="58">
        <f>КАФЕДРА!BK107</f>
        <v>0</v>
      </c>
      <c r="BL111" s="58">
        <f>КАФЕДРА!BL107</f>
        <v>0</v>
      </c>
      <c r="BM111" s="74">
        <f>КАФЕДРА!BM107</f>
        <v>8</v>
      </c>
      <c r="BN111" s="58">
        <f>КАФЕДРА!BN107</f>
        <v>0</v>
      </c>
      <c r="BO111" s="58">
        <f>КАФЕДРА!BO107</f>
        <v>0</v>
      </c>
      <c r="BP111" s="58">
        <f>КАФЕДРА!BP107</f>
        <v>0</v>
      </c>
      <c r="BQ111" s="74">
        <f>КАФЕДРА!BQ107</f>
        <v>2</v>
      </c>
      <c r="BR111" s="58">
        <f>КАФЕДРА!BR107</f>
        <v>0</v>
      </c>
      <c r="BS111" s="58">
        <f>КАФЕДРА!BS107</f>
        <v>0</v>
      </c>
      <c r="BT111" s="58">
        <f>КАФЕДРА!BT107</f>
        <v>0</v>
      </c>
      <c r="BU111" s="74">
        <f>КАФЕДРА!BU107</f>
        <v>2</v>
      </c>
      <c r="BV111" s="58">
        <f>КАФЕДРА!BV107</f>
        <v>0</v>
      </c>
      <c r="BW111" s="58">
        <f>КАФЕДРА!BW107</f>
        <v>0</v>
      </c>
      <c r="BX111" s="74">
        <f>КАФЕДРА!BX107</f>
        <v>2</v>
      </c>
      <c r="BY111" s="58">
        <f>КАФЕДРА!BY107</f>
        <v>0</v>
      </c>
      <c r="BZ111" s="58">
        <f>КАФЕДРА!BZ107</f>
        <v>0</v>
      </c>
      <c r="CA111" s="74">
        <f>КАФЕДРА!CA107</f>
        <v>4</v>
      </c>
      <c r="CC111" s="143">
        <f t="array" ref="CC111">SUM($F111:$CA111*$F$11:$CA$11)</f>
        <v>50</v>
      </c>
    </row>
    <row r="112" spans="1:117" s="46" customFormat="1" x14ac:dyDescent="0.2">
      <c r="A112" s="97" t="s">
        <v>39</v>
      </c>
      <c r="B112" s="97" t="s">
        <v>35</v>
      </c>
      <c r="C112" s="97"/>
      <c r="D112" s="97"/>
      <c r="E112" s="97"/>
      <c r="F112" s="529">
        <v>0</v>
      </c>
      <c r="G112" s="529">
        <v>0</v>
      </c>
      <c r="H112" s="529">
        <f>H110*H111/100*H$11</f>
        <v>0</v>
      </c>
      <c r="I112" s="529">
        <f t="shared" ref="I112:J112" si="39">I110*I111/100*I$11</f>
        <v>0</v>
      </c>
      <c r="J112" s="529">
        <f t="shared" si="39"/>
        <v>0</v>
      </c>
      <c r="K112" s="529">
        <f t="shared" ref="K112" si="40">K110*K111/100*K$11</f>
        <v>0</v>
      </c>
      <c r="L112" s="529">
        <f t="shared" ref="L112" si="41">L110*L111/100*L$11</f>
        <v>0</v>
      </c>
      <c r="M112" s="529">
        <f t="shared" ref="M112" si="42">M110*M111/100*M$11</f>
        <v>0.11</v>
      </c>
      <c r="N112" s="529">
        <f t="shared" ref="N112" si="43">N110*N111/100*N$11</f>
        <v>0</v>
      </c>
      <c r="O112" s="529">
        <f t="shared" ref="O112" si="44">O110*O111/100*O$11</f>
        <v>0</v>
      </c>
      <c r="P112" s="529">
        <f t="shared" ref="P112:R112" si="45">P110*P111/100*P$11</f>
        <v>0.11</v>
      </c>
      <c r="Q112" s="529">
        <f t="shared" si="45"/>
        <v>0</v>
      </c>
      <c r="R112" s="529">
        <f t="shared" si="45"/>
        <v>0.11</v>
      </c>
      <c r="S112" s="529">
        <f t="shared" ref="S112" si="46">S110*S111/100*S$11</f>
        <v>0</v>
      </c>
      <c r="T112" s="529">
        <f t="shared" ref="T112" si="47">T110*T111/100*T$11</f>
        <v>0</v>
      </c>
      <c r="U112" s="529">
        <f t="shared" ref="U112" si="48">U110*U111/100*U$11</f>
        <v>0.11</v>
      </c>
      <c r="V112" s="529">
        <f t="shared" ref="V112" si="49">V110*V111/100*V$11</f>
        <v>0</v>
      </c>
      <c r="W112" s="529">
        <f t="shared" ref="W112" si="50">W110*W111/100*W$11</f>
        <v>0</v>
      </c>
      <c r="X112" s="529">
        <f t="shared" ref="X112" si="51">X110*X111/100*X$11</f>
        <v>0.11</v>
      </c>
      <c r="Y112" s="529">
        <f t="shared" ref="Y112" si="52">Y110*Y111/100*Y$11</f>
        <v>0</v>
      </c>
      <c r="Z112" s="529">
        <f t="shared" ref="Z112" si="53">Z110*Z111/100*Z$11</f>
        <v>0</v>
      </c>
      <c r="AA112" s="529">
        <f t="shared" ref="AA112" si="54">AA110*AA111/100*AA$11</f>
        <v>0.11</v>
      </c>
      <c r="AB112" s="529">
        <f t="shared" ref="AB112" si="55">AB110*AB111/100*AB$11</f>
        <v>0</v>
      </c>
      <c r="AC112" s="529">
        <f t="shared" ref="AC112" si="56">AC110*AC111/100*AC$11</f>
        <v>0</v>
      </c>
      <c r="AD112" s="529">
        <f t="shared" ref="AD112" si="57">AD110*AD111/100*AD$11</f>
        <v>0</v>
      </c>
      <c r="AE112" s="529">
        <v>0</v>
      </c>
      <c r="AF112" s="529">
        <v>0</v>
      </c>
      <c r="AG112" s="529">
        <v>0.72</v>
      </c>
      <c r="AH112" s="529">
        <v>0</v>
      </c>
      <c r="AI112" s="529">
        <v>0</v>
      </c>
      <c r="AJ112" s="529">
        <v>0.5</v>
      </c>
      <c r="AK112" s="529">
        <v>0</v>
      </c>
      <c r="AL112" s="529">
        <v>0</v>
      </c>
      <c r="AM112" s="529">
        <v>0</v>
      </c>
      <c r="AN112" s="529">
        <v>0.5</v>
      </c>
      <c r="AO112" s="529">
        <v>0</v>
      </c>
      <c r="AP112" s="529">
        <v>0</v>
      </c>
      <c r="AQ112" s="529">
        <v>0.5</v>
      </c>
      <c r="AR112" s="529">
        <v>0</v>
      </c>
      <c r="AS112" s="529">
        <v>0</v>
      </c>
      <c r="AT112" s="529"/>
      <c r="AU112" s="529">
        <v>0.5</v>
      </c>
      <c r="AV112" s="529">
        <v>0</v>
      </c>
      <c r="AW112" s="529">
        <v>0</v>
      </c>
      <c r="AX112" s="529">
        <v>0</v>
      </c>
      <c r="AY112" s="529">
        <v>0</v>
      </c>
      <c r="AZ112" s="529"/>
      <c r="BA112" s="529">
        <v>0</v>
      </c>
      <c r="BB112" s="529">
        <v>0</v>
      </c>
      <c r="BC112" s="529">
        <v>0.5</v>
      </c>
      <c r="BD112" s="529">
        <v>0.5</v>
      </c>
      <c r="BE112" s="529">
        <v>0</v>
      </c>
      <c r="BF112" s="529">
        <v>0</v>
      </c>
      <c r="BG112" s="529"/>
      <c r="BH112" s="529">
        <v>0.5</v>
      </c>
      <c r="BI112" s="529">
        <v>0.5</v>
      </c>
      <c r="BJ112" s="529">
        <v>0</v>
      </c>
      <c r="BK112" s="529">
        <v>0</v>
      </c>
      <c r="BL112" s="529">
        <v>0</v>
      </c>
      <c r="BM112" s="529">
        <v>1.7</v>
      </c>
      <c r="BN112" s="529">
        <v>0</v>
      </c>
      <c r="BO112" s="529">
        <v>0</v>
      </c>
      <c r="BP112" s="529">
        <v>0</v>
      </c>
      <c r="BQ112" s="529">
        <v>0.42499999999999999</v>
      </c>
      <c r="BR112" s="529"/>
      <c r="BS112" s="529"/>
      <c r="BT112" s="529"/>
      <c r="BU112" s="529"/>
      <c r="BV112" s="529"/>
      <c r="BW112" s="529"/>
      <c r="BX112" s="529"/>
      <c r="BY112" s="529">
        <v>0</v>
      </c>
      <c r="BZ112" s="529">
        <v>0</v>
      </c>
      <c r="CA112" s="529">
        <v>0.34</v>
      </c>
      <c r="CC112" s="532">
        <f t="array" ref="CC112">SUM($F112:$CA112*$F$11:$CA$11)</f>
        <v>6.8449999999999998</v>
      </c>
      <c r="DD112" s="492"/>
      <c r="DE112" s="492"/>
      <c r="DF112" s="492"/>
      <c r="DG112" s="492"/>
      <c r="DH112" s="492"/>
      <c r="DI112" s="492"/>
      <c r="DJ112" s="492"/>
      <c r="DM112" s="492"/>
    </row>
    <row r="113" spans="1:117" x14ac:dyDescent="0.2">
      <c r="A113" s="67" t="s">
        <v>8</v>
      </c>
      <c r="B113" s="67" t="s">
        <v>35</v>
      </c>
      <c r="C113" s="67" t="s">
        <v>41</v>
      </c>
      <c r="D113" s="67"/>
      <c r="E113" s="67"/>
      <c r="F113" s="128">
        <v>0.33333333333333331</v>
      </c>
      <c r="G113" s="67"/>
      <c r="H113" s="67">
        <v>1</v>
      </c>
      <c r="I113" s="67"/>
      <c r="J113" s="67"/>
      <c r="K113" s="69"/>
      <c r="L113" s="69"/>
      <c r="M113" s="69">
        <v>1</v>
      </c>
      <c r="N113" s="67"/>
      <c r="O113" s="67"/>
      <c r="P113" s="67">
        <v>1</v>
      </c>
      <c r="Q113" s="67"/>
      <c r="R113" s="67">
        <v>1</v>
      </c>
      <c r="S113" s="69"/>
      <c r="T113" s="69"/>
      <c r="U113" s="69">
        <v>1</v>
      </c>
      <c r="V113" s="69"/>
      <c r="W113" s="69"/>
      <c r="X113" s="69">
        <v>1</v>
      </c>
      <c r="Y113" s="69"/>
      <c r="Z113" s="69"/>
      <c r="AA113" s="69">
        <v>1</v>
      </c>
      <c r="AB113" s="69"/>
      <c r="AC113" s="69"/>
      <c r="AD113" s="69"/>
      <c r="AE113" s="69"/>
      <c r="AF113" s="69"/>
      <c r="AG113" s="69">
        <v>1</v>
      </c>
      <c r="AH113" s="67"/>
      <c r="AI113" s="67"/>
      <c r="AJ113" s="67">
        <v>1</v>
      </c>
      <c r="AK113" s="67"/>
      <c r="AL113" s="67"/>
      <c r="AM113" s="67"/>
      <c r="AN113" s="67">
        <v>1</v>
      </c>
      <c r="AO113" s="67"/>
      <c r="AP113" s="67"/>
      <c r="AQ113" s="67">
        <v>1</v>
      </c>
      <c r="AR113" s="67"/>
      <c r="AS113" s="67"/>
      <c r="AT113" s="67"/>
      <c r="AU113" s="67">
        <v>1</v>
      </c>
      <c r="AV113" s="67"/>
      <c r="AW113" s="67"/>
      <c r="AX113" s="67"/>
      <c r="AY113" s="67"/>
      <c r="AZ113" s="67"/>
      <c r="BA113" s="67">
        <v>1</v>
      </c>
      <c r="BB113" s="67">
        <v>1</v>
      </c>
      <c r="BC113" s="67">
        <v>2</v>
      </c>
      <c r="BD113" s="67">
        <v>2</v>
      </c>
      <c r="BE113" s="67"/>
      <c r="BF113" s="67"/>
      <c r="BG113" s="67"/>
      <c r="BH113" s="67">
        <v>1</v>
      </c>
      <c r="BI113" s="67">
        <v>1</v>
      </c>
      <c r="BJ113" s="67"/>
      <c r="BK113" s="67"/>
      <c r="BL113" s="67"/>
      <c r="BM113" s="67">
        <v>1</v>
      </c>
      <c r="BN113" s="67"/>
      <c r="BO113" s="67"/>
      <c r="BP113" s="67"/>
      <c r="BQ113" s="67">
        <v>1</v>
      </c>
      <c r="BR113" s="67"/>
      <c r="BS113" s="67"/>
      <c r="BT113" s="67"/>
      <c r="BU113" s="67"/>
      <c r="BV113" s="67"/>
      <c r="BW113" s="67"/>
      <c r="BX113" s="67"/>
      <c r="BY113" s="67"/>
      <c r="BZ113" s="67"/>
      <c r="CA113" s="67">
        <v>1</v>
      </c>
      <c r="CC113" s="142"/>
    </row>
    <row r="114" spans="1:117" x14ac:dyDescent="0.2">
      <c r="CC114" s="129"/>
    </row>
    <row r="115" spans="1:117" s="64" customFormat="1" x14ac:dyDescent="0.2">
      <c r="A115" s="58" t="s">
        <v>13</v>
      </c>
      <c r="B115" s="60" t="s">
        <v>7</v>
      </c>
      <c r="C115" s="58" t="s">
        <v>5</v>
      </c>
      <c r="D115" s="58"/>
      <c r="E115" s="58"/>
      <c r="F115" s="65">
        <f t="shared" ref="F115:F116" si="58">F110</f>
        <v>19</v>
      </c>
      <c r="G115" s="58">
        <f t="shared" ref="G115:AJ115" si="59">G110</f>
        <v>11</v>
      </c>
      <c r="H115" s="58">
        <f t="shared" si="59"/>
        <v>11</v>
      </c>
      <c r="I115" s="58"/>
      <c r="J115" s="58"/>
      <c r="K115" s="65">
        <f t="shared" si="59"/>
        <v>11</v>
      </c>
      <c r="L115" s="65">
        <f t="shared" si="59"/>
        <v>11</v>
      </c>
      <c r="M115" s="65">
        <f t="shared" si="59"/>
        <v>11</v>
      </c>
      <c r="N115" s="65">
        <f t="shared" si="59"/>
        <v>11</v>
      </c>
      <c r="O115" s="65">
        <f t="shared" si="59"/>
        <v>11</v>
      </c>
      <c r="P115" s="65">
        <f t="shared" si="59"/>
        <v>11</v>
      </c>
      <c r="Q115" s="65">
        <f t="shared" si="59"/>
        <v>11</v>
      </c>
      <c r="R115" s="65">
        <f t="shared" si="59"/>
        <v>11</v>
      </c>
      <c r="S115" s="65">
        <f t="shared" si="59"/>
        <v>11</v>
      </c>
      <c r="T115" s="65">
        <f t="shared" si="59"/>
        <v>11</v>
      </c>
      <c r="U115" s="65">
        <f t="shared" si="59"/>
        <v>11</v>
      </c>
      <c r="V115" s="65">
        <f t="shared" ref="V115:AA116" si="60">V110</f>
        <v>11</v>
      </c>
      <c r="W115" s="65">
        <f t="shared" si="60"/>
        <v>11</v>
      </c>
      <c r="X115" s="65">
        <f t="shared" si="60"/>
        <v>11</v>
      </c>
      <c r="Y115" s="65">
        <f t="shared" si="60"/>
        <v>11</v>
      </c>
      <c r="Z115" s="65">
        <f t="shared" si="60"/>
        <v>11</v>
      </c>
      <c r="AA115" s="65">
        <f t="shared" si="60"/>
        <v>11</v>
      </c>
      <c r="AB115" s="65">
        <f t="shared" ref="AB115:AD115" si="61">AB110</f>
        <v>11</v>
      </c>
      <c r="AC115" s="65">
        <f t="shared" si="61"/>
        <v>11</v>
      </c>
      <c r="AD115" s="65">
        <f t="shared" si="61"/>
        <v>11</v>
      </c>
      <c r="AE115" s="65">
        <f t="shared" si="59"/>
        <v>6</v>
      </c>
      <c r="AF115" s="65">
        <f t="shared" si="59"/>
        <v>6</v>
      </c>
      <c r="AG115" s="65">
        <f t="shared" si="59"/>
        <v>6</v>
      </c>
      <c r="AH115" s="65">
        <f t="shared" si="59"/>
        <v>6</v>
      </c>
      <c r="AI115" s="65">
        <f t="shared" si="59"/>
        <v>6</v>
      </c>
      <c r="AJ115" s="65">
        <f t="shared" si="59"/>
        <v>6</v>
      </c>
      <c r="AK115" s="58">
        <f t="shared" ref="AK115:CA115" si="62">AK110</f>
        <v>8</v>
      </c>
      <c r="AL115" s="58">
        <f t="shared" si="62"/>
        <v>8</v>
      </c>
      <c r="AM115" s="58">
        <f t="shared" si="62"/>
        <v>8</v>
      </c>
      <c r="AN115" s="58">
        <f t="shared" si="62"/>
        <v>8</v>
      </c>
      <c r="AO115" s="58">
        <f t="shared" si="62"/>
        <v>8</v>
      </c>
      <c r="AP115" s="58">
        <f t="shared" si="62"/>
        <v>8</v>
      </c>
      <c r="AQ115" s="58">
        <f t="shared" si="62"/>
        <v>8</v>
      </c>
      <c r="AR115" s="58">
        <f t="shared" si="62"/>
        <v>12</v>
      </c>
      <c r="AS115" s="58">
        <f t="shared" si="62"/>
        <v>12</v>
      </c>
      <c r="AT115" s="58">
        <f t="shared" si="62"/>
        <v>12</v>
      </c>
      <c r="AU115" s="58">
        <f t="shared" si="62"/>
        <v>12</v>
      </c>
      <c r="AV115" s="58">
        <f t="shared" ref="AV115:AX116" si="63">AV110</f>
        <v>12</v>
      </c>
      <c r="AW115" s="58">
        <f t="shared" si="63"/>
        <v>12</v>
      </c>
      <c r="AX115" s="58">
        <f t="shared" si="63"/>
        <v>12</v>
      </c>
      <c r="AY115" s="58">
        <f t="shared" si="62"/>
        <v>12</v>
      </c>
      <c r="AZ115" s="58">
        <f>AZ110</f>
        <v>12</v>
      </c>
      <c r="BA115" s="58">
        <f t="shared" si="62"/>
        <v>12</v>
      </c>
      <c r="BB115" s="58">
        <f t="shared" si="62"/>
        <v>12</v>
      </c>
      <c r="BC115" s="58">
        <f t="shared" si="62"/>
        <v>12</v>
      </c>
      <c r="BD115" s="58">
        <f t="shared" ref="BD115:BJ115" si="64">BD110</f>
        <v>12</v>
      </c>
      <c r="BE115" s="58">
        <f t="shared" si="64"/>
        <v>12</v>
      </c>
      <c r="BF115" s="58">
        <f t="shared" si="64"/>
        <v>12</v>
      </c>
      <c r="BG115" s="58">
        <f t="shared" si="64"/>
        <v>12</v>
      </c>
      <c r="BH115" s="58">
        <f t="shared" si="64"/>
        <v>12</v>
      </c>
      <c r="BI115" s="58">
        <f>BI110</f>
        <v>12</v>
      </c>
      <c r="BJ115" s="58">
        <f t="shared" si="64"/>
        <v>18</v>
      </c>
      <c r="BK115" s="58">
        <f t="shared" si="62"/>
        <v>18</v>
      </c>
      <c r="BL115" s="58">
        <f>BL110</f>
        <v>18</v>
      </c>
      <c r="BM115" s="58">
        <f t="shared" si="62"/>
        <v>18</v>
      </c>
      <c r="BN115" s="58">
        <f t="shared" si="62"/>
        <v>18</v>
      </c>
      <c r="BO115" s="58">
        <f t="shared" si="62"/>
        <v>18</v>
      </c>
      <c r="BP115" s="58">
        <f t="shared" si="62"/>
        <v>18</v>
      </c>
      <c r="BQ115" s="58">
        <f t="shared" si="62"/>
        <v>18</v>
      </c>
      <c r="BR115" s="756">
        <f t="shared" si="62"/>
        <v>18</v>
      </c>
      <c r="BS115" s="756">
        <f t="shared" si="62"/>
        <v>18</v>
      </c>
      <c r="BT115" s="756">
        <f t="shared" si="62"/>
        <v>18</v>
      </c>
      <c r="BU115" s="756">
        <f t="shared" si="62"/>
        <v>18</v>
      </c>
      <c r="BV115" s="756">
        <f t="shared" si="62"/>
        <v>18</v>
      </c>
      <c r="BW115" s="756">
        <f t="shared" si="62"/>
        <v>18</v>
      </c>
      <c r="BX115" s="756">
        <f t="shared" si="62"/>
        <v>18</v>
      </c>
      <c r="BY115" s="58">
        <f t="shared" si="62"/>
        <v>18</v>
      </c>
      <c r="BZ115" s="58">
        <f t="shared" si="62"/>
        <v>18</v>
      </c>
      <c r="CA115" s="58">
        <f t="shared" si="62"/>
        <v>18</v>
      </c>
      <c r="CC115" s="142"/>
      <c r="CD115" s="33"/>
      <c r="DC115" s="33"/>
      <c r="DD115" s="146"/>
      <c r="DE115" s="146"/>
      <c r="DF115" s="146"/>
      <c r="DG115" s="146"/>
      <c r="DH115" s="146"/>
      <c r="DI115" s="146"/>
      <c r="DJ115" s="146"/>
      <c r="DM115" s="146"/>
    </row>
    <row r="116" spans="1:117" s="64" customFormat="1" x14ac:dyDescent="0.2">
      <c r="A116" s="130" t="s">
        <v>14</v>
      </c>
      <c r="B116" s="130" t="s">
        <v>7</v>
      </c>
      <c r="C116" s="130" t="s">
        <v>5</v>
      </c>
      <c r="D116" s="130"/>
      <c r="E116" s="130"/>
      <c r="F116" s="137">
        <f t="shared" si="58"/>
        <v>0</v>
      </c>
      <c r="G116" s="58">
        <f t="shared" ref="G116:AJ116" si="65">G111</f>
        <v>0</v>
      </c>
      <c r="H116" s="74">
        <f t="shared" si="65"/>
        <v>2</v>
      </c>
      <c r="I116" s="74">
        <f t="shared" si="65"/>
        <v>0</v>
      </c>
      <c r="J116" s="74">
        <f t="shared" si="65"/>
        <v>2</v>
      </c>
      <c r="K116" s="68">
        <f t="shared" si="65"/>
        <v>0</v>
      </c>
      <c r="L116" s="68">
        <f t="shared" si="65"/>
        <v>0</v>
      </c>
      <c r="M116" s="68">
        <f t="shared" si="65"/>
        <v>1</v>
      </c>
      <c r="N116" s="68">
        <f t="shared" si="65"/>
        <v>0</v>
      </c>
      <c r="O116" s="68">
        <f t="shared" si="65"/>
        <v>0</v>
      </c>
      <c r="P116" s="68">
        <f t="shared" si="65"/>
        <v>1</v>
      </c>
      <c r="Q116" s="68">
        <f t="shared" si="65"/>
        <v>0</v>
      </c>
      <c r="R116" s="68">
        <f t="shared" si="65"/>
        <v>1</v>
      </c>
      <c r="S116" s="68">
        <f t="shared" si="65"/>
        <v>0</v>
      </c>
      <c r="T116" s="68">
        <f t="shared" si="65"/>
        <v>0</v>
      </c>
      <c r="U116" s="68">
        <f t="shared" si="65"/>
        <v>1</v>
      </c>
      <c r="V116" s="68">
        <f t="shared" si="60"/>
        <v>0</v>
      </c>
      <c r="W116" s="68">
        <f t="shared" si="60"/>
        <v>0</v>
      </c>
      <c r="X116" s="68">
        <f t="shared" si="60"/>
        <v>1</v>
      </c>
      <c r="Y116" s="68">
        <f t="shared" si="60"/>
        <v>0</v>
      </c>
      <c r="Z116" s="68">
        <f t="shared" si="60"/>
        <v>0</v>
      </c>
      <c r="AA116" s="68">
        <f t="shared" si="60"/>
        <v>1</v>
      </c>
      <c r="AB116" s="68">
        <f t="shared" ref="AB116:AD116" si="66">AB111</f>
        <v>0</v>
      </c>
      <c r="AC116" s="68">
        <f t="shared" si="66"/>
        <v>0</v>
      </c>
      <c r="AD116" s="68">
        <f t="shared" si="66"/>
        <v>1</v>
      </c>
      <c r="AE116" s="68">
        <f t="shared" si="65"/>
        <v>0</v>
      </c>
      <c r="AF116" s="68">
        <f t="shared" si="65"/>
        <v>0</v>
      </c>
      <c r="AG116" s="68">
        <f t="shared" si="65"/>
        <v>3</v>
      </c>
      <c r="AH116" s="68">
        <f t="shared" si="65"/>
        <v>0</v>
      </c>
      <c r="AI116" s="68">
        <f t="shared" si="65"/>
        <v>0</v>
      </c>
      <c r="AJ116" s="68">
        <f t="shared" si="65"/>
        <v>3</v>
      </c>
      <c r="AK116" s="58">
        <f t="shared" ref="AK116:CA116" si="67">AK111</f>
        <v>0</v>
      </c>
      <c r="AL116" s="58">
        <f t="shared" si="67"/>
        <v>0</v>
      </c>
      <c r="AM116" s="58">
        <f t="shared" si="67"/>
        <v>0</v>
      </c>
      <c r="AN116" s="74">
        <f t="shared" si="67"/>
        <v>6</v>
      </c>
      <c r="AO116" s="58">
        <f t="shared" si="67"/>
        <v>0</v>
      </c>
      <c r="AP116" s="58">
        <f t="shared" si="67"/>
        <v>0</v>
      </c>
      <c r="AQ116" s="74">
        <f t="shared" si="67"/>
        <v>2</v>
      </c>
      <c r="AR116" s="58">
        <f t="shared" si="67"/>
        <v>0</v>
      </c>
      <c r="AS116" s="58">
        <f t="shared" si="67"/>
        <v>0</v>
      </c>
      <c r="AT116" s="58">
        <f t="shared" si="67"/>
        <v>0</v>
      </c>
      <c r="AU116" s="74">
        <f t="shared" si="67"/>
        <v>0</v>
      </c>
      <c r="AV116" s="58">
        <f t="shared" si="63"/>
        <v>0</v>
      </c>
      <c r="AW116" s="58">
        <f t="shared" si="63"/>
        <v>0</v>
      </c>
      <c r="AX116" s="58">
        <f t="shared" si="63"/>
        <v>0</v>
      </c>
      <c r="AY116" s="58">
        <f t="shared" si="67"/>
        <v>0</v>
      </c>
      <c r="AZ116" s="58">
        <f>AZ111</f>
        <v>0</v>
      </c>
      <c r="BA116" s="74">
        <f t="shared" si="67"/>
        <v>0</v>
      </c>
      <c r="BB116" s="74">
        <f t="shared" si="67"/>
        <v>0</v>
      </c>
      <c r="BC116" s="74">
        <f t="shared" si="67"/>
        <v>0</v>
      </c>
      <c r="BD116" s="74">
        <f t="shared" ref="BD116:BJ116" si="68">BD111</f>
        <v>4</v>
      </c>
      <c r="BE116" s="58">
        <f t="shared" si="68"/>
        <v>0</v>
      </c>
      <c r="BF116" s="58">
        <f t="shared" si="68"/>
        <v>0</v>
      </c>
      <c r="BG116" s="58">
        <f t="shared" si="68"/>
        <v>0</v>
      </c>
      <c r="BH116" s="74">
        <f t="shared" si="68"/>
        <v>0</v>
      </c>
      <c r="BI116" s="74">
        <f>BI111</f>
        <v>12</v>
      </c>
      <c r="BJ116" s="58">
        <f t="shared" si="68"/>
        <v>0</v>
      </c>
      <c r="BK116" s="58">
        <f t="shared" si="67"/>
        <v>0</v>
      </c>
      <c r="BL116" s="58">
        <f>BL111</f>
        <v>0</v>
      </c>
      <c r="BM116" s="74">
        <f t="shared" si="67"/>
        <v>8</v>
      </c>
      <c r="BN116" s="58">
        <f t="shared" si="67"/>
        <v>0</v>
      </c>
      <c r="BO116" s="58">
        <f t="shared" si="67"/>
        <v>0</v>
      </c>
      <c r="BP116" s="58">
        <f t="shared" si="67"/>
        <v>0</v>
      </c>
      <c r="BQ116" s="74">
        <f t="shared" si="67"/>
        <v>2</v>
      </c>
      <c r="BR116" s="757">
        <f t="shared" si="67"/>
        <v>0</v>
      </c>
      <c r="BS116" s="757">
        <f t="shared" si="67"/>
        <v>0</v>
      </c>
      <c r="BT116" s="757">
        <f t="shared" si="67"/>
        <v>0</v>
      </c>
      <c r="BU116" s="757">
        <f t="shared" si="67"/>
        <v>2</v>
      </c>
      <c r="BV116" s="757">
        <f t="shared" si="67"/>
        <v>0</v>
      </c>
      <c r="BW116" s="757">
        <f t="shared" si="67"/>
        <v>0</v>
      </c>
      <c r="BX116" s="757">
        <f t="shared" si="67"/>
        <v>2</v>
      </c>
      <c r="BY116" s="58">
        <f t="shared" si="67"/>
        <v>0</v>
      </c>
      <c r="BZ116" s="58">
        <f t="shared" si="67"/>
        <v>0</v>
      </c>
      <c r="CA116" s="74">
        <f t="shared" si="67"/>
        <v>4</v>
      </c>
      <c r="CC116" s="178">
        <f t="array" ref="CC116">SUM($F116:$CA116*$F$11:$CA$11)</f>
        <v>50</v>
      </c>
      <c r="CD116" s="33"/>
      <c r="DC116" s="33"/>
      <c r="DD116" s="146"/>
      <c r="DE116" s="146"/>
      <c r="DF116" s="146"/>
      <c r="DG116" s="146"/>
      <c r="DH116" s="146"/>
      <c r="DI116" s="146"/>
      <c r="DJ116" s="146"/>
      <c r="DM116" s="146"/>
    </row>
    <row r="117" spans="1:117" s="46" customFormat="1" x14ac:dyDescent="0.2">
      <c r="A117" s="97" t="s">
        <v>39</v>
      </c>
      <c r="B117" s="97" t="s">
        <v>7</v>
      </c>
      <c r="C117" s="97"/>
      <c r="D117" s="97"/>
      <c r="E117" s="97"/>
      <c r="F117" s="529">
        <v>0</v>
      </c>
      <c r="G117" s="529">
        <v>0</v>
      </c>
      <c r="H117" s="529">
        <v>0.03</v>
      </c>
      <c r="I117" s="529"/>
      <c r="J117" s="529"/>
      <c r="K117" s="529">
        <v>0</v>
      </c>
      <c r="L117" s="529">
        <v>0</v>
      </c>
      <c r="M117" s="529">
        <v>0.15</v>
      </c>
      <c r="N117" s="529">
        <v>0</v>
      </c>
      <c r="O117" s="529">
        <v>0</v>
      </c>
      <c r="P117" s="529">
        <v>0.15</v>
      </c>
      <c r="Q117" s="529">
        <v>0.15</v>
      </c>
      <c r="R117" s="529">
        <v>0.15</v>
      </c>
      <c r="S117" s="529">
        <v>0</v>
      </c>
      <c r="T117" s="529">
        <v>0</v>
      </c>
      <c r="U117" s="529">
        <v>0.72</v>
      </c>
      <c r="V117" s="529">
        <v>0</v>
      </c>
      <c r="W117" s="529">
        <v>0</v>
      </c>
      <c r="X117" s="529">
        <v>0.72</v>
      </c>
      <c r="Y117" s="529">
        <v>0</v>
      </c>
      <c r="Z117" s="529">
        <v>0</v>
      </c>
      <c r="AA117" s="529">
        <v>0.72</v>
      </c>
      <c r="AB117" s="529">
        <v>0.72</v>
      </c>
      <c r="AC117" s="529">
        <v>0.72</v>
      </c>
      <c r="AD117" s="529">
        <v>0.72</v>
      </c>
      <c r="AE117" s="529">
        <v>0</v>
      </c>
      <c r="AF117" s="529">
        <v>0</v>
      </c>
      <c r="AG117" s="529">
        <v>0.72</v>
      </c>
      <c r="AH117" s="529">
        <v>0</v>
      </c>
      <c r="AI117" s="529">
        <v>0</v>
      </c>
      <c r="AJ117" s="529">
        <v>0.5</v>
      </c>
      <c r="AK117" s="529">
        <v>0</v>
      </c>
      <c r="AL117" s="529">
        <v>0</v>
      </c>
      <c r="AM117" s="529">
        <v>0</v>
      </c>
      <c r="AN117" s="529">
        <v>0.5</v>
      </c>
      <c r="AO117" s="529">
        <v>0</v>
      </c>
      <c r="AP117" s="529">
        <v>0</v>
      </c>
      <c r="AQ117" s="529">
        <v>0.5</v>
      </c>
      <c r="AR117" s="529">
        <v>0</v>
      </c>
      <c r="AS117" s="529">
        <v>0</v>
      </c>
      <c r="AT117" s="529"/>
      <c r="AU117" s="529">
        <v>0.5</v>
      </c>
      <c r="AV117" s="529">
        <v>0</v>
      </c>
      <c r="AW117" s="529">
        <v>0</v>
      </c>
      <c r="AX117" s="529">
        <v>0</v>
      </c>
      <c r="AY117" s="529">
        <v>0</v>
      </c>
      <c r="AZ117" s="529"/>
      <c r="BA117" s="529">
        <v>0</v>
      </c>
      <c r="BB117" s="529">
        <v>0</v>
      </c>
      <c r="BC117" s="529">
        <v>0.5</v>
      </c>
      <c r="BD117" s="529">
        <v>0.5</v>
      </c>
      <c r="BE117" s="529">
        <v>0</v>
      </c>
      <c r="BF117" s="529">
        <v>0</v>
      </c>
      <c r="BG117" s="529"/>
      <c r="BH117" s="529">
        <v>0.5</v>
      </c>
      <c r="BI117" s="529">
        <v>0.5</v>
      </c>
      <c r="BJ117" s="529">
        <v>0</v>
      </c>
      <c r="BK117" s="529">
        <v>0</v>
      </c>
      <c r="BL117" s="529">
        <v>0</v>
      </c>
      <c r="BM117" s="529">
        <v>1.7</v>
      </c>
      <c r="BN117" s="529">
        <v>0</v>
      </c>
      <c r="BO117" s="529">
        <v>0</v>
      </c>
      <c r="BP117" s="529">
        <v>0</v>
      </c>
      <c r="BQ117" s="529">
        <v>0.42499999999999999</v>
      </c>
      <c r="BR117" s="529"/>
      <c r="BS117" s="529"/>
      <c r="BT117" s="529"/>
      <c r="BU117" s="529"/>
      <c r="BV117" s="529"/>
      <c r="BW117" s="529"/>
      <c r="BX117" s="529"/>
      <c r="BY117" s="529">
        <v>0</v>
      </c>
      <c r="BZ117" s="529">
        <v>0</v>
      </c>
      <c r="CA117" s="529">
        <v>0.34</v>
      </c>
      <c r="CC117" s="532">
        <f t="array" ref="CC117">SUM($F117:$CA117*$F$11:$CA$11)</f>
        <v>8.7949999999999999</v>
      </c>
      <c r="DD117" s="492"/>
      <c r="DE117" s="492"/>
      <c r="DF117" s="492"/>
      <c r="DG117" s="492"/>
      <c r="DH117" s="492"/>
      <c r="DI117" s="492"/>
      <c r="DJ117" s="492"/>
      <c r="DM117" s="492"/>
    </row>
    <row r="118" spans="1:117" s="70" customFormat="1" x14ac:dyDescent="0.2">
      <c r="A118" s="67" t="s">
        <v>8</v>
      </c>
      <c r="B118" s="60" t="s">
        <v>7</v>
      </c>
      <c r="C118" s="67" t="s">
        <v>41</v>
      </c>
      <c r="D118" s="67"/>
      <c r="E118" s="67"/>
      <c r="F118" s="128">
        <v>0.33333333333333331</v>
      </c>
      <c r="G118" s="67"/>
      <c r="H118" s="67">
        <v>1</v>
      </c>
      <c r="I118" s="67"/>
      <c r="J118" s="67">
        <v>1</v>
      </c>
      <c r="K118" s="69"/>
      <c r="L118" s="69"/>
      <c r="M118" s="69">
        <v>1</v>
      </c>
      <c r="N118" s="67"/>
      <c r="O118" s="67"/>
      <c r="P118" s="67">
        <v>1</v>
      </c>
      <c r="Q118" s="67"/>
      <c r="R118" s="67">
        <v>1</v>
      </c>
      <c r="S118" s="69"/>
      <c r="T118" s="69"/>
      <c r="U118" s="69">
        <v>1</v>
      </c>
      <c r="V118" s="69"/>
      <c r="W118" s="69"/>
      <c r="X118" s="69">
        <v>1</v>
      </c>
      <c r="Y118" s="69"/>
      <c r="Z118" s="69"/>
      <c r="AA118" s="69">
        <v>1</v>
      </c>
      <c r="AB118" s="69">
        <v>1</v>
      </c>
      <c r="AC118" s="69">
        <v>1</v>
      </c>
      <c r="AD118" s="69">
        <v>1</v>
      </c>
      <c r="AE118" s="69"/>
      <c r="AF118" s="69"/>
      <c r="AG118" s="69">
        <v>1</v>
      </c>
      <c r="AH118" s="67"/>
      <c r="AI118" s="67"/>
      <c r="AJ118" s="67">
        <v>1</v>
      </c>
      <c r="AK118" s="67"/>
      <c r="AL118" s="67"/>
      <c r="AM118" s="67"/>
      <c r="AN118" s="67">
        <v>1</v>
      </c>
      <c r="AO118" s="67"/>
      <c r="AP118" s="67"/>
      <c r="AQ118" s="67">
        <v>1</v>
      </c>
      <c r="AR118" s="67"/>
      <c r="AS118" s="67"/>
      <c r="AT118" s="67"/>
      <c r="AU118" s="67">
        <v>1</v>
      </c>
      <c r="AV118" s="67"/>
      <c r="AW118" s="67"/>
      <c r="AX118" s="67"/>
      <c r="AY118" s="67"/>
      <c r="AZ118" s="67"/>
      <c r="BA118" s="67">
        <v>1</v>
      </c>
      <c r="BB118" s="67">
        <v>1</v>
      </c>
      <c r="BC118" s="67">
        <v>2</v>
      </c>
      <c r="BD118" s="67">
        <v>2</v>
      </c>
      <c r="BE118" s="67"/>
      <c r="BF118" s="67"/>
      <c r="BG118" s="67"/>
      <c r="BH118" s="67">
        <v>1</v>
      </c>
      <c r="BI118" s="67">
        <v>1</v>
      </c>
      <c r="BJ118" s="67"/>
      <c r="BK118" s="67"/>
      <c r="BL118" s="67"/>
      <c r="BM118" s="67">
        <v>1</v>
      </c>
      <c r="BN118" s="67"/>
      <c r="BO118" s="67"/>
      <c r="BP118" s="67"/>
      <c r="BQ118" s="67">
        <v>1</v>
      </c>
      <c r="BR118" s="67"/>
      <c r="BS118" s="67"/>
      <c r="BT118" s="67"/>
      <c r="BU118" s="67">
        <v>1</v>
      </c>
      <c r="BV118" s="67"/>
      <c r="BW118" s="67"/>
      <c r="BX118" s="67">
        <v>1</v>
      </c>
      <c r="BY118" s="67"/>
      <c r="BZ118" s="67"/>
      <c r="CA118" s="67">
        <v>1</v>
      </c>
      <c r="CC118" s="142"/>
      <c r="CD118" s="33"/>
      <c r="DC118" s="33"/>
      <c r="DD118" s="146"/>
      <c r="DE118" s="146"/>
      <c r="DF118" s="146"/>
      <c r="DG118" s="146"/>
      <c r="DH118" s="146"/>
      <c r="DI118" s="146"/>
      <c r="DJ118" s="146"/>
      <c r="DM118" s="146"/>
    </row>
    <row r="119" spans="1:117" x14ac:dyDescent="0.2">
      <c r="CC119" s="129"/>
    </row>
  </sheetData>
  <mergeCells count="28">
    <mergeCell ref="A9:C9"/>
    <mergeCell ref="K9:M9"/>
    <mergeCell ref="G9:H9"/>
    <mergeCell ref="I9:J9"/>
    <mergeCell ref="BY9:CA9"/>
    <mergeCell ref="AE9:AG9"/>
    <mergeCell ref="BN9:BQ9"/>
    <mergeCell ref="BE9:BH9"/>
    <mergeCell ref="BK9:BM9"/>
    <mergeCell ref="AH9:AJ9"/>
    <mergeCell ref="AV9:AZ9"/>
    <mergeCell ref="BV9:BX9"/>
    <mergeCell ref="BR9:BU9"/>
    <mergeCell ref="BJ8:CA8"/>
    <mergeCell ref="AR8:BI8"/>
    <mergeCell ref="AK8:AQ8"/>
    <mergeCell ref="G8:AD8"/>
    <mergeCell ref="AK9:AN9"/>
    <mergeCell ref="AO9:AQ9"/>
    <mergeCell ref="AR9:AU9"/>
    <mergeCell ref="BA9:BB9"/>
    <mergeCell ref="N9:P9"/>
    <mergeCell ref="Y9:AA9"/>
    <mergeCell ref="S9:U9"/>
    <mergeCell ref="V9:X9"/>
    <mergeCell ref="AB9:AD9"/>
    <mergeCell ref="AE8:AJ8"/>
    <mergeCell ref="Q9:R9"/>
  </mergeCells>
  <conditionalFormatting sqref="CN20:CN25 CN28:CN59 CF21:CH25 CP19:CT19 CP28:CT59 CF28:CL59 CF19:CL20 CJ21:CL25 CI21:CI27 CP20:CP25 CR20:CT25 CQ20:CQ27">
    <cfRule type="expression" dxfId="224" priority="134">
      <formula>CF19=0</formula>
    </cfRule>
  </conditionalFormatting>
  <conditionalFormatting sqref="AE28:AG59 AR20:AU20 AY20:AY25 BB20:BC25 BB27:BC59 AY27:AY59 AR28:AU59 AT27:AU27 AT21:AU25 AR21:AS27">
    <cfRule type="expression" dxfId="223" priority="129">
      <formula>$E20="Нет"</formula>
    </cfRule>
  </conditionalFormatting>
  <conditionalFormatting sqref="AO19:AQ19 AQ28:AQ59 AK19:AM19">
    <cfRule type="expression" dxfId="222" priority="122">
      <formula>$B$3="нет"</formula>
    </cfRule>
  </conditionalFormatting>
  <conditionalFormatting sqref="BA20:BA25 BA27:BA59">
    <cfRule type="expression" dxfId="221" priority="121">
      <formula>$E20="Нет"</formula>
    </cfRule>
  </conditionalFormatting>
  <conditionalFormatting sqref="CO19:CO25 CN19 CO28:CO59">
    <cfRule type="expression" dxfId="220" priority="120">
      <formula>CN19=0</formula>
    </cfRule>
  </conditionalFormatting>
  <conditionalFormatting sqref="Y28:AD59 Y20:Z27 AB20:AC27">
    <cfRule type="expression" dxfId="219" priority="101">
      <formula>$E20="Нет"</formula>
    </cfRule>
  </conditionalFormatting>
  <conditionalFormatting sqref="S28:U59 S20:T27">
    <cfRule type="expression" dxfId="218" priority="99">
      <formula>$E20="Нет"</formula>
    </cfRule>
  </conditionalFormatting>
  <conditionalFormatting sqref="BD28:BD59">
    <cfRule type="expression" dxfId="217" priority="97">
      <formula>$E28="Нет"</formula>
    </cfRule>
  </conditionalFormatting>
  <conditionalFormatting sqref="BE20:BH25 BE27:BH59">
    <cfRule type="expression" dxfId="216" priority="95">
      <formula>$F20="Нет"</formula>
    </cfRule>
  </conditionalFormatting>
  <conditionalFormatting sqref="BI28:BI59">
    <cfRule type="expression" dxfId="215" priority="90">
      <formula>$F28="Нет"</formula>
    </cfRule>
  </conditionalFormatting>
  <conditionalFormatting sqref="BI20:BI25 BI27">
    <cfRule type="expression" dxfId="214" priority="87">
      <formula>(BI20=нет)</formula>
    </cfRule>
  </conditionalFormatting>
  <conditionalFormatting sqref="V28:X59 V20:W27">
    <cfRule type="expression" dxfId="213" priority="85">
      <formula>$E20="Нет"</formula>
    </cfRule>
  </conditionalFormatting>
  <conditionalFormatting sqref="AX20:AX25 AX27:AX59">
    <cfRule type="expression" dxfId="212" priority="75">
      <formula>$E20="Нет"</formula>
    </cfRule>
  </conditionalFormatting>
  <conditionalFormatting sqref="AW20:AW25 AW27:AW59">
    <cfRule type="expression" dxfId="211" priority="73">
      <formula>$E20="Нет"</formula>
    </cfRule>
  </conditionalFormatting>
  <conditionalFormatting sqref="AV20:AV25 AV27:AV59">
    <cfRule type="expression" dxfId="210" priority="71">
      <formula>$E20="Нет"</formula>
    </cfRule>
  </conditionalFormatting>
  <conditionalFormatting sqref="AZ28:AZ59">
    <cfRule type="expression" dxfId="209" priority="69">
      <formula>$E28="Нет"</formula>
    </cfRule>
  </conditionalFormatting>
  <conditionalFormatting sqref="AZ20:AZ25 AZ27">
    <cfRule type="expression" dxfId="208" priority="67">
      <formula>$E20="Нет"</formula>
    </cfRule>
  </conditionalFormatting>
  <conditionalFormatting sqref="AZ19:AZ25 AZ27">
    <cfRule type="cellIs" dxfId="207" priority="66" operator="lessThan">
      <formula>AZ$16</formula>
    </cfRule>
  </conditionalFormatting>
  <conditionalFormatting sqref="BD19 BD27">
    <cfRule type="cellIs" dxfId="206" priority="64" operator="lessThan">
      <formula>$BD$16</formula>
    </cfRule>
  </conditionalFormatting>
  <conditionalFormatting sqref="BD20:BD25">
    <cfRule type="cellIs" dxfId="205" priority="60" operator="lessThan">
      <formula>$BD$16</formula>
    </cfRule>
  </conditionalFormatting>
  <conditionalFormatting sqref="AZ26">
    <cfRule type="cellIs" dxfId="204" priority="8" operator="lessThan">
      <formula>AZ$16</formula>
    </cfRule>
  </conditionalFormatting>
  <conditionalFormatting sqref="BD26">
    <cfRule type="cellIs" dxfId="203" priority="6" operator="lessThan">
      <formula>$BD$16</formula>
    </cfRule>
  </conditionalFormatting>
  <dataValidations disablePrompts="1" count="2">
    <dataValidation type="list" allowBlank="1" showInputMessage="1" showErrorMessage="1" sqref="B3:B6 E20:E59 F20:F27">
      <formula1>ДаНет</formula1>
    </dataValidation>
    <dataValidation type="list" allowBlank="1" showInputMessage="1" showErrorMessage="1" sqref="B115:B118 B20:B59">
      <formula1>Должность</formula1>
    </dataValidation>
  </dataValidations>
  <hyperlinks>
    <hyperlink ref="AK9:AN9" location="ПрофРабота!R20C6" display="Участие ППС в профориентационной работе ВУЗа по привлечению абиртуриентов, в том числе из медицинских колледжей"/>
    <hyperlink ref="AO9:AQ9" location="МероприятияВуза!R21C26" display="Организация культурно-развлекательных мероприятий вуза, направленных на формирование здорового образа жизни у обучающихся   ↓"/>
    <hyperlink ref="F5" location="ТИТУЛ!R1C1" display="↑  На титульнфй лист"/>
    <hyperlink ref="F6" location="'ФАКУЛЬТЕТ (КАФЕДРЫ+ДЕКАН)'!R1C1" display="Посмотреть итоги   →"/>
  </hyperlinks>
  <pageMargins left="0.23622047244094491" right="0.23622047244094491" top="0.35433070866141736" bottom="0.27559055118110237" header="0.31496062992125984" footer="0.31496062992125984"/>
  <pageSetup paperSize="9" scale="53" fitToWidth="3" fitToHeight="2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9">
    <tabColor rgb="FF92D050"/>
    <pageSetUpPr fitToPage="1"/>
  </sheetPr>
  <dimension ref="A1:BR90"/>
  <sheetViews>
    <sheetView topLeftCell="A4" zoomScale="90" zoomScaleNormal="90" workbookViewId="0">
      <selection activeCell="K19" sqref="K19"/>
    </sheetView>
  </sheetViews>
  <sheetFormatPr defaultColWidth="9.140625" defaultRowHeight="14.25" x14ac:dyDescent="0.2"/>
  <cols>
    <col min="1" max="1" width="50.7109375" style="182" customWidth="1"/>
    <col min="2" max="2" width="16.7109375" style="182" customWidth="1"/>
    <col min="3" max="3" width="7.85546875" style="182" customWidth="1"/>
    <col min="4" max="4" width="12.42578125" style="182" customWidth="1"/>
    <col min="5" max="5" width="11" style="182" customWidth="1"/>
    <col min="6" max="6" width="10.5703125" style="182" customWidth="1"/>
    <col min="7" max="7" width="11.7109375" style="182" customWidth="1"/>
    <col min="8" max="8" width="1" style="402" customWidth="1"/>
    <col min="9" max="9" width="10.140625" style="182" customWidth="1"/>
    <col min="10" max="10" width="9.140625" style="182" customWidth="1"/>
    <col min="11" max="11" width="14.42578125" style="182" customWidth="1"/>
    <col min="12" max="12" width="11.140625" style="182" customWidth="1"/>
    <col min="13" max="13" width="1.28515625" style="402" customWidth="1"/>
    <col min="14" max="14" width="11.85546875" style="182" customWidth="1"/>
    <col min="15" max="15" width="18.7109375" style="182" customWidth="1"/>
    <col min="16" max="17" width="11.85546875" style="182" customWidth="1"/>
    <col min="18" max="18" width="1.42578125" style="402" customWidth="1"/>
    <col min="19" max="19" width="14.5703125" style="182" hidden="1" customWidth="1"/>
    <col min="20" max="20" width="14.85546875" style="182" hidden="1" customWidth="1"/>
    <col min="21" max="21" width="1" style="402" hidden="1" customWidth="1"/>
    <col min="22" max="22" width="14.85546875" style="182" hidden="1" customWidth="1"/>
    <col min="23" max="23" width="14.28515625" style="182" hidden="1" customWidth="1"/>
    <col min="24" max="25" width="9.140625" style="182"/>
    <col min="26" max="26" width="9.140625" style="182" customWidth="1"/>
    <col min="27" max="27" width="11.140625" style="182" customWidth="1"/>
    <col min="28" max="28" width="11.85546875" style="182" customWidth="1"/>
    <col min="29" max="32" width="9.140625" style="182" customWidth="1"/>
    <col min="33" max="16384" width="9.140625" style="182"/>
  </cols>
  <sheetData>
    <row r="1" spans="1:23" hidden="1" x14ac:dyDescent="0.2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182" t="s">
        <v>301</v>
      </c>
      <c r="E1" s="182" t="s">
        <v>302</v>
      </c>
      <c r="F1" s="182" t="s">
        <v>303</v>
      </c>
      <c r="G1" s="182" t="s">
        <v>304</v>
      </c>
      <c r="I1" s="182" t="s">
        <v>307</v>
      </c>
      <c r="S1" s="182" t="s">
        <v>305</v>
      </c>
      <c r="T1" s="182" t="s">
        <v>306</v>
      </c>
      <c r="V1" s="182" t="s">
        <v>305</v>
      </c>
      <c r="W1" s="182" t="s">
        <v>306</v>
      </c>
    </row>
    <row r="2" spans="1:23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</row>
    <row r="3" spans="1:23" hidden="1" x14ac:dyDescent="0.2"/>
    <row r="4" spans="1:23" s="293" customFormat="1" x14ac:dyDescent="0.2"/>
    <row r="5" spans="1:23" ht="22.5" x14ac:dyDescent="0.3">
      <c r="A5" s="209" t="s">
        <v>300</v>
      </c>
      <c r="D5" s="183" t="s">
        <v>76</v>
      </c>
      <c r="G5" s="254"/>
      <c r="H5" s="257"/>
      <c r="I5" s="253"/>
      <c r="J5" s="253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</row>
    <row r="6" spans="1:23" ht="17.25" customHeight="1" x14ac:dyDescent="0.35">
      <c r="A6" s="183" t="s">
        <v>76</v>
      </c>
      <c r="D6" s="415" t="s">
        <v>299</v>
      </c>
      <c r="G6" s="257"/>
      <c r="H6" s="257"/>
      <c r="I6" s="257"/>
      <c r="J6" s="257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  <c r="V6" s="257"/>
    </row>
    <row r="7" spans="1:23" ht="15" x14ac:dyDescent="0.25">
      <c r="A7" s="477" t="s">
        <v>242</v>
      </c>
      <c r="D7" s="2248" t="s">
        <v>301</v>
      </c>
      <c r="E7" s="2249"/>
      <c r="F7" s="2249"/>
      <c r="G7" s="2250"/>
      <c r="I7" s="2248" t="s">
        <v>301</v>
      </c>
      <c r="J7" s="2249"/>
      <c r="K7" s="2249"/>
      <c r="L7" s="2249"/>
      <c r="N7" s="2248" t="s">
        <v>313</v>
      </c>
      <c r="O7" s="2249"/>
      <c r="P7" s="2249"/>
      <c r="Q7" s="2250"/>
      <c r="R7" s="1469"/>
      <c r="S7" s="2248" t="s">
        <v>310</v>
      </c>
      <c r="T7" s="2250"/>
      <c r="V7" s="2248" t="s">
        <v>310</v>
      </c>
      <c r="W7" s="2250"/>
    </row>
    <row r="8" spans="1:23" ht="51" customHeight="1" x14ac:dyDescent="0.2">
      <c r="A8" s="444">
        <f ca="1">NOW()</f>
        <v>45929.466219097223</v>
      </c>
      <c r="D8" s="2247" t="s">
        <v>308</v>
      </c>
      <c r="E8" s="2245"/>
      <c r="F8" s="2245"/>
      <c r="G8" s="2246"/>
      <c r="I8" s="2247" t="s">
        <v>309</v>
      </c>
      <c r="J8" s="2245"/>
      <c r="K8" s="2245"/>
      <c r="L8" s="2245"/>
      <c r="N8" s="2244" t="s">
        <v>314</v>
      </c>
      <c r="O8" s="2245"/>
      <c r="P8" s="2245"/>
      <c r="Q8" s="2246"/>
      <c r="R8" s="1469"/>
      <c r="S8" s="2244" t="s">
        <v>308</v>
      </c>
      <c r="T8" s="2246"/>
      <c r="V8" s="2247" t="s">
        <v>309</v>
      </c>
      <c r="W8" s="2246"/>
    </row>
    <row r="9" spans="1:23" s="267" customFormat="1" ht="18.75" customHeight="1" x14ac:dyDescent="0.25">
      <c r="A9" s="438" t="str">
        <f>ТИТУЛ!$B$22&amp;" квартал "&amp;ТИТУЛ!$D$22&amp;" года"</f>
        <v>2 квартал 2024 года</v>
      </c>
      <c r="D9" s="1470"/>
      <c r="E9" s="1470"/>
      <c r="F9" s="1470"/>
      <c r="G9" s="1470"/>
      <c r="H9" s="272"/>
      <c r="I9" s="1471" t="s">
        <v>311</v>
      </c>
      <c r="J9" s="1471" t="s">
        <v>312</v>
      </c>
      <c r="K9" s="1471" t="s">
        <v>312</v>
      </c>
      <c r="L9" s="1471" t="s">
        <v>312</v>
      </c>
      <c r="M9" s="272"/>
      <c r="N9" s="1471" t="s">
        <v>312</v>
      </c>
      <c r="O9" s="1471" t="s">
        <v>312</v>
      </c>
      <c r="P9" s="1471" t="s">
        <v>312</v>
      </c>
      <c r="Q9" s="1471" t="s">
        <v>312</v>
      </c>
      <c r="R9" s="272"/>
      <c r="S9" s="1471" t="s">
        <v>312</v>
      </c>
      <c r="T9" s="1471" t="s">
        <v>312</v>
      </c>
      <c r="U9" s="272"/>
      <c r="V9" s="1471" t="s">
        <v>312</v>
      </c>
      <c r="W9" s="1471" t="s">
        <v>312</v>
      </c>
    </row>
    <row r="10" spans="1:23" ht="13.5" hidden="1" customHeight="1" x14ac:dyDescent="0.2">
      <c r="A10" s="213" t="s">
        <v>250</v>
      </c>
      <c r="B10" s="188"/>
      <c r="C10" s="188"/>
      <c r="D10" s="435"/>
      <c r="E10" s="435"/>
      <c r="F10" s="435"/>
      <c r="G10" s="435"/>
      <c r="I10" s="435"/>
      <c r="J10" s="435"/>
      <c r="K10" s="435"/>
      <c r="L10" s="435"/>
      <c r="N10" s="435"/>
      <c r="O10" s="435"/>
      <c r="P10" s="435"/>
      <c r="Q10" s="435"/>
      <c r="S10" s="435"/>
      <c r="T10" s="435"/>
      <c r="V10" s="435"/>
      <c r="W10" s="435"/>
    </row>
    <row r="11" spans="1:23" ht="13.5" hidden="1" customHeight="1" x14ac:dyDescent="0.2">
      <c r="A11" s="213" t="s">
        <v>208</v>
      </c>
      <c r="B11" s="188"/>
      <c r="C11" s="188"/>
      <c r="D11" s="188"/>
      <c r="E11" s="188"/>
      <c r="F11" s="188"/>
      <c r="G11" s="188"/>
      <c r="I11" s="188"/>
      <c r="J11" s="188"/>
      <c r="K11" s="188"/>
      <c r="L11" s="188"/>
      <c r="N11" s="188"/>
      <c r="O11" s="188"/>
      <c r="P11" s="188"/>
      <c r="Q11" s="188"/>
      <c r="S11" s="188"/>
      <c r="T11" s="188"/>
      <c r="V11" s="188"/>
      <c r="W11" s="188"/>
    </row>
    <row r="12" spans="1:23" ht="15.75" hidden="1" customHeight="1" x14ac:dyDescent="0.2">
      <c r="A12" s="189"/>
      <c r="B12" s="189"/>
      <c r="C12" s="189"/>
      <c r="D12" s="189" t="s">
        <v>268</v>
      </c>
      <c r="E12" s="189"/>
      <c r="F12" s="189"/>
      <c r="G12" s="189"/>
      <c r="I12" s="189"/>
      <c r="J12" s="189"/>
      <c r="K12" s="189"/>
      <c r="L12" s="189"/>
      <c r="N12" s="189"/>
      <c r="O12" s="189"/>
      <c r="P12" s="189"/>
      <c r="Q12" s="189"/>
      <c r="S12" s="189"/>
      <c r="T12" s="189"/>
      <c r="V12" s="189"/>
      <c r="W12" s="189"/>
    </row>
    <row r="13" spans="1:23" ht="168" customHeight="1" x14ac:dyDescent="0.2">
      <c r="A13" s="191" t="str">
        <f>КАФЕДРА!A10</f>
        <v>Наименование кафедры</v>
      </c>
      <c r="B13" s="1227" t="s">
        <v>327</v>
      </c>
      <c r="C13" s="192" t="s">
        <v>32</v>
      </c>
      <c r="D13" s="478" t="s">
        <v>552</v>
      </c>
      <c r="E13" s="194" t="s">
        <v>553</v>
      </c>
      <c r="F13" s="192" t="s">
        <v>449</v>
      </c>
      <c r="G13" s="194" t="s">
        <v>554</v>
      </c>
      <c r="I13" s="1402" t="s">
        <v>555</v>
      </c>
      <c r="J13" s="478" t="s">
        <v>556</v>
      </c>
      <c r="K13" s="194" t="s">
        <v>557</v>
      </c>
      <c r="L13" s="194" t="s">
        <v>558</v>
      </c>
      <c r="N13" s="478" t="s">
        <v>559</v>
      </c>
      <c r="O13" s="194" t="s">
        <v>560</v>
      </c>
      <c r="P13" s="194" t="s">
        <v>561</v>
      </c>
      <c r="Q13" s="1403" t="s">
        <v>562</v>
      </c>
      <c r="S13" s="1402" t="s">
        <v>563</v>
      </c>
      <c r="T13" s="1402" t="s">
        <v>564</v>
      </c>
      <c r="V13" s="1402" t="s">
        <v>565</v>
      </c>
      <c r="W13" s="1402" t="s">
        <v>566</v>
      </c>
    </row>
    <row r="14" spans="1:23" hidden="1" x14ac:dyDescent="0.2">
      <c r="A14" s="195"/>
      <c r="B14" s="195"/>
      <c r="C14" s="195"/>
      <c r="D14" s="195"/>
      <c r="E14" s="195"/>
      <c r="F14" s="195"/>
      <c r="G14" s="195"/>
      <c r="I14" s="195"/>
      <c r="J14" s="195"/>
      <c r="K14" s="195"/>
      <c r="L14" s="195"/>
      <c r="N14" s="767"/>
      <c r="O14" s="767"/>
      <c r="P14" s="767"/>
      <c r="Q14" s="767"/>
      <c r="S14" s="195"/>
      <c r="T14" s="195"/>
      <c r="V14" s="195"/>
      <c r="W14" s="195"/>
    </row>
    <row r="15" spans="1:23" hidden="1" x14ac:dyDescent="0.2">
      <c r="A15" s="195"/>
      <c r="B15" s="195"/>
      <c r="C15" s="195"/>
      <c r="D15" s="195"/>
      <c r="E15" s="195"/>
      <c r="F15" s="195"/>
      <c r="G15" s="195"/>
      <c r="I15" s="195"/>
      <c r="J15" s="195"/>
      <c r="K15" s="195"/>
      <c r="L15" s="195"/>
      <c r="N15" s="767"/>
      <c r="O15" s="767"/>
      <c r="P15" s="767"/>
      <c r="Q15" s="767"/>
      <c r="S15" s="195"/>
      <c r="T15" s="195"/>
      <c r="V15" s="195"/>
      <c r="W15" s="195"/>
    </row>
    <row r="16" spans="1:23" hidden="1" x14ac:dyDescent="0.2">
      <c r="A16" s="195"/>
      <c r="B16" s="195"/>
      <c r="C16" s="195"/>
      <c r="D16" s="195"/>
      <c r="E16" s="195"/>
      <c r="F16" s="195"/>
      <c r="G16" s="195"/>
      <c r="I16" s="195"/>
      <c r="J16" s="195"/>
      <c r="K16" s="195"/>
      <c r="L16" s="195"/>
      <c r="N16" s="767"/>
      <c r="O16" s="767"/>
      <c r="P16" s="767"/>
      <c r="Q16" s="767"/>
      <c r="S16" s="195"/>
      <c r="T16" s="195"/>
      <c r="V16" s="195"/>
      <c r="W16" s="195"/>
    </row>
    <row r="17" spans="1:70" hidden="1" x14ac:dyDescent="0.2">
      <c r="A17" s="195"/>
      <c r="B17" s="195"/>
      <c r="C17" s="195"/>
      <c r="D17" s="195"/>
      <c r="E17" s="195"/>
      <c r="F17" s="195"/>
      <c r="G17" s="195"/>
      <c r="I17" s="195"/>
      <c r="J17" s="195"/>
      <c r="K17" s="195"/>
      <c r="L17" s="195"/>
      <c r="N17" s="767"/>
      <c r="O17" s="767"/>
      <c r="P17" s="767"/>
      <c r="Q17" s="767"/>
      <c r="S17" s="195"/>
      <c r="T17" s="195"/>
      <c r="V17" s="195"/>
      <c r="W17" s="195"/>
    </row>
    <row r="18" spans="1:70" ht="6.75" customHeight="1" x14ac:dyDescent="0.2">
      <c r="A18" s="197"/>
      <c r="B18" s="197"/>
      <c r="C18" s="197"/>
      <c r="D18" s="199"/>
      <c r="E18" s="199"/>
      <c r="F18" s="199"/>
      <c r="G18" s="199"/>
      <c r="I18" s="199"/>
      <c r="J18" s="199"/>
      <c r="K18" s="199"/>
      <c r="L18" s="199"/>
      <c r="N18" s="199"/>
      <c r="O18" s="199"/>
      <c r="P18" s="199"/>
      <c r="Q18" s="199"/>
      <c r="S18" s="199"/>
      <c r="T18" s="199"/>
      <c r="V18" s="199"/>
      <c r="W18" s="199"/>
      <c r="AB18" s="253"/>
      <c r="AC18" s="253"/>
      <c r="AD18" s="253"/>
      <c r="AE18" s="253"/>
    </row>
    <row r="19" spans="1:70" x14ac:dyDescent="0.2">
      <c r="A19" s="200" t="str">
        <f>КАФЕДРА!A19</f>
        <v>сумма по кафедрам (проверочная)</v>
      </c>
      <c r="B19" s="200"/>
      <c r="C19" s="433">
        <f>IF(LEN(КАФЕДРА!$A19)&gt;2,КАФЕДРА!C19,0)</f>
        <v>0</v>
      </c>
      <c r="D19" s="1404">
        <f>SUM(D20:D77)</f>
        <v>0</v>
      </c>
      <c r="E19" s="871">
        <f>SUM(E20:E77)</f>
        <v>0</v>
      </c>
      <c r="F19" s="871">
        <f>SUM(F20:F77)</f>
        <v>0</v>
      </c>
      <c r="G19" s="871">
        <f>SUM(G20:G77)</f>
        <v>0</v>
      </c>
      <c r="I19" s="953">
        <f>SUM(I20:I77)</f>
        <v>0</v>
      </c>
      <c r="J19" s="953">
        <f>SUM(J20:J77)</f>
        <v>0</v>
      </c>
      <c r="K19" s="953">
        <f>SUM(K20:K77)</f>
        <v>0</v>
      </c>
      <c r="L19" s="953">
        <f>SUM(L20:L77)</f>
        <v>0</v>
      </c>
      <c r="N19" s="953">
        <f>SUM(N20:N77)</f>
        <v>0</v>
      </c>
      <c r="O19" s="1184">
        <f>SUM(O20:O77)</f>
        <v>0</v>
      </c>
      <c r="P19" s="953">
        <f>SUM(P20:P77)</f>
        <v>0</v>
      </c>
      <c r="Q19" s="953">
        <f>SUM(Q20:Q77)</f>
        <v>0</v>
      </c>
      <c r="S19" s="871">
        <f>SUM(S20:S77)</f>
        <v>0</v>
      </c>
      <c r="T19" s="871">
        <f>SUM(T20:T77)</f>
        <v>0</v>
      </c>
      <c r="V19" s="953">
        <f>SUM(V20:V77)</f>
        <v>0</v>
      </c>
      <c r="W19" s="953">
        <f>SUM(W20:W77)</f>
        <v>0</v>
      </c>
      <c r="AB19" s="253"/>
      <c r="AC19" s="1107"/>
      <c r="AD19" s="253"/>
      <c r="AE19" s="253"/>
    </row>
    <row r="20" spans="1:70" x14ac:dyDescent="0.2">
      <c r="A20" s="551" t="str">
        <f>IF(LEN(КАФЕДРА!A20)&gt;2,КАФЕДРА!A20,"")</f>
        <v>Акушерства и гинекологии с курсом ДПО</v>
      </c>
      <c r="B20" s="442" t="str">
        <f>КАФЕДРА!$D20</f>
        <v>КМЕДИЦИНЫ</v>
      </c>
      <c r="C20" s="1405">
        <f>$E20</f>
        <v>0</v>
      </c>
      <c r="D20" s="1406"/>
      <c r="E20" s="1406"/>
      <c r="F20" s="1406"/>
      <c r="G20" s="1406"/>
      <c r="I20" s="1406"/>
      <c r="J20" s="1458">
        <f t="shared" ref="J20:J77" si="0">SUM($K20,$L20)</f>
        <v>0</v>
      </c>
      <c r="K20" s="1406"/>
      <c r="L20" s="1408"/>
      <c r="N20" s="1407">
        <f>SUM(O20,P20)</f>
        <v>0</v>
      </c>
      <c r="O20" s="1406"/>
      <c r="P20" s="1409"/>
      <c r="Q20" s="1410"/>
      <c r="S20" s="1411"/>
      <c r="T20" s="1411"/>
      <c r="V20" s="1410"/>
      <c r="W20" s="1410"/>
      <c r="Y20" s="262"/>
      <c r="AB20" s="253"/>
      <c r="AC20" s="734"/>
      <c r="AD20" s="253"/>
      <c r="AE20" s="253"/>
      <c r="BR20" s="872"/>
    </row>
    <row r="21" spans="1:70" x14ac:dyDescent="0.2">
      <c r="A21" s="551" t="str">
        <f>IF(LEN(КАФЕДРА!A21)&gt;2,КАФЕДРА!A21,"")</f>
        <v>Анатомии</v>
      </c>
      <c r="B21" s="442" t="str">
        <f>КАФЕДРА!$D21</f>
        <v>КМЕДИЦИНЫ</v>
      </c>
      <c r="C21" s="1405">
        <f t="shared" ref="C21:C75" si="1">$E21</f>
        <v>0</v>
      </c>
      <c r="D21" s="1406"/>
      <c r="E21" s="1406"/>
      <c r="F21" s="1406"/>
      <c r="G21" s="1406"/>
      <c r="I21" s="1406"/>
      <c r="J21" s="1458">
        <f t="shared" si="0"/>
        <v>0</v>
      </c>
      <c r="K21" s="1412"/>
      <c r="L21" s="1412"/>
      <c r="N21" s="1407">
        <f t="shared" ref="N21:N77" si="2">SUM(O21,P21)</f>
        <v>0</v>
      </c>
      <c r="O21" s="1406"/>
      <c r="P21" s="1413"/>
      <c r="Q21" s="1410"/>
      <c r="S21" s="1411"/>
      <c r="T21" s="1411"/>
      <c r="V21" s="1410"/>
      <c r="W21" s="1410"/>
      <c r="AB21" s="253"/>
      <c r="AC21" s="734"/>
      <c r="AD21" s="253"/>
      <c r="AE21" s="253"/>
    </row>
    <row r="22" spans="1:70" x14ac:dyDescent="0.2">
      <c r="A22" s="551" t="str">
        <f>IF(LEN(КАФЕДРА!A22)&gt;2,КАФЕДРА!A22,"")</f>
        <v>Анестезиологии и реаниматологии с курсом ДПО</v>
      </c>
      <c r="B22" s="442" t="str">
        <f>КАФЕДРА!$D22</f>
        <v>КМЕДИЦИНЫ</v>
      </c>
      <c r="C22" s="1405">
        <f t="shared" si="1"/>
        <v>0</v>
      </c>
      <c r="D22" s="1406"/>
      <c r="E22" s="1406"/>
      <c r="F22" s="1406"/>
      <c r="G22" s="1406"/>
      <c r="I22" s="1406"/>
      <c r="J22" s="1458">
        <f t="shared" si="0"/>
        <v>0</v>
      </c>
      <c r="K22" s="1414"/>
      <c r="L22" s="1414"/>
      <c r="N22" s="1407">
        <f t="shared" si="2"/>
        <v>0</v>
      </c>
      <c r="O22" s="1406"/>
      <c r="P22" s="1415"/>
      <c r="Q22" s="1410"/>
      <c r="S22" s="1411"/>
      <c r="T22" s="1411"/>
      <c r="V22" s="1410"/>
      <c r="W22" s="1410"/>
      <c r="AB22" s="253"/>
      <c r="AC22" s="734"/>
      <c r="AD22" s="253"/>
      <c r="AE22" s="253"/>
    </row>
    <row r="23" spans="1:70" x14ac:dyDescent="0.2">
      <c r="A23" s="551" t="str">
        <f>IF(LEN(КАФЕДРА!A23)&gt;2,КАФЕДРА!A23,"")</f>
        <v>Госпитальной терапии и эндокринологии</v>
      </c>
      <c r="B23" s="442" t="str">
        <f>КАФЕДРА!$D23</f>
        <v>КМЕДИЦИНЫ</v>
      </c>
      <c r="C23" s="1405">
        <f t="shared" si="1"/>
        <v>0</v>
      </c>
      <c r="D23" s="1406"/>
      <c r="E23" s="1406"/>
      <c r="F23" s="1406"/>
      <c r="G23" s="1406"/>
      <c r="I23" s="1406"/>
      <c r="J23" s="1458">
        <f t="shared" si="0"/>
        <v>0</v>
      </c>
      <c r="K23" s="1408"/>
      <c r="L23" s="1408"/>
      <c r="N23" s="1407">
        <f t="shared" si="2"/>
        <v>0</v>
      </c>
      <c r="O23" s="1406"/>
      <c r="P23" s="1409"/>
      <c r="Q23" s="1410"/>
      <c r="S23" s="1411"/>
      <c r="T23" s="1411"/>
      <c r="V23" s="1410"/>
      <c r="W23" s="1410"/>
      <c r="AB23" s="253"/>
      <c r="AC23" s="734"/>
      <c r="AD23" s="253"/>
      <c r="AE23" s="253"/>
    </row>
    <row r="24" spans="1:70" x14ac:dyDescent="0.2">
      <c r="A24" s="551" t="str">
        <f>IF(LEN(КАФЕДРА!A24)&gt;2,КАФЕДРА!A24,"")</f>
        <v>Госпитальной хирургии</v>
      </c>
      <c r="B24" s="442" t="str">
        <f>КАФЕДРА!$D24</f>
        <v>КМЕДИЦИНЫ</v>
      </c>
      <c r="C24" s="1405">
        <f t="shared" si="1"/>
        <v>0</v>
      </c>
      <c r="D24" s="1406"/>
      <c r="E24" s="1406"/>
      <c r="F24" s="1406"/>
      <c r="G24" s="1406"/>
      <c r="I24" s="1406"/>
      <c r="J24" s="1458">
        <f t="shared" si="0"/>
        <v>0</v>
      </c>
      <c r="K24" s="1408"/>
      <c r="L24" s="1408"/>
      <c r="N24" s="1407">
        <f t="shared" si="2"/>
        <v>0</v>
      </c>
      <c r="O24" s="1406"/>
      <c r="P24" s="1409"/>
      <c r="Q24" s="1410"/>
      <c r="S24" s="1411"/>
      <c r="T24" s="1411"/>
      <c r="V24" s="1410"/>
      <c r="W24" s="1410"/>
      <c r="AB24" s="253"/>
      <c r="AC24" s="734"/>
      <c r="AD24" s="253"/>
      <c r="AE24" s="253"/>
    </row>
    <row r="25" spans="1:70" x14ac:dyDescent="0.2">
      <c r="A25" s="551" t="str">
        <f>IF(LEN(КАФЕДРА!A25)&gt;2,КАФЕДРА!A25,"")</f>
        <v>Неврологии и Нейрохирургии с курсом ДПО</v>
      </c>
      <c r="B25" s="442" t="str">
        <f>КАФЕДРА!$D25</f>
        <v>КМЕДИЦИНЫ</v>
      </c>
      <c r="C25" s="1405">
        <f t="shared" si="1"/>
        <v>0</v>
      </c>
      <c r="D25" s="1406"/>
      <c r="E25" s="1406"/>
      <c r="F25" s="1406"/>
      <c r="G25" s="1406"/>
      <c r="I25" s="1406"/>
      <c r="J25" s="1458">
        <f t="shared" si="0"/>
        <v>0</v>
      </c>
      <c r="K25" s="1414"/>
      <c r="L25" s="1414"/>
      <c r="N25" s="1407">
        <f t="shared" si="2"/>
        <v>0</v>
      </c>
      <c r="O25" s="1406"/>
      <c r="P25" s="1415"/>
      <c r="Q25" s="1410"/>
      <c r="S25" s="1411"/>
      <c r="T25" s="1411"/>
      <c r="V25" s="1410"/>
      <c r="W25" s="1410"/>
      <c r="AC25" s="508"/>
    </row>
    <row r="26" spans="1:70" x14ac:dyDescent="0.2">
      <c r="A26" s="551" t="str">
        <f>IF(LEN(КАФЕДРА!A26)&gt;2,КАФЕДРА!A26,"")</f>
        <v>Нормальной физиологии</v>
      </c>
      <c r="B26" s="442" t="str">
        <f>КАФЕДРА!$D26</f>
        <v>КМЕДИЦИНЫ</v>
      </c>
      <c r="C26" s="1405">
        <f t="shared" si="1"/>
        <v>0</v>
      </c>
      <c r="D26" s="1406"/>
      <c r="E26" s="1406"/>
      <c r="F26" s="1406"/>
      <c r="G26" s="1406"/>
      <c r="I26" s="1406"/>
      <c r="J26" s="1458">
        <f t="shared" si="0"/>
        <v>0</v>
      </c>
      <c r="K26" s="1412"/>
      <c r="L26" s="1412"/>
      <c r="N26" s="1407">
        <f t="shared" si="2"/>
        <v>0</v>
      </c>
      <c r="O26" s="1406"/>
      <c r="P26" s="1413"/>
      <c r="Q26" s="1410"/>
      <c r="S26" s="1411"/>
      <c r="T26" s="1411"/>
      <c r="V26" s="1410"/>
      <c r="W26" s="1410"/>
      <c r="AC26" s="508"/>
    </row>
    <row r="27" spans="1:70" x14ac:dyDescent="0.2">
      <c r="A27" s="551" t="str">
        <f>IF(LEN(КАФЕДРА!A27)&gt;2,КАФЕДРА!A27,"")</f>
        <v>Общей хирургии, оперативной хирургии и топографической анатомии</v>
      </c>
      <c r="B27" s="442" t="str">
        <f>КАФЕДРА!$D27</f>
        <v>КМЕДИЦИНЫ</v>
      </c>
      <c r="C27" s="1405">
        <f t="shared" si="1"/>
        <v>0</v>
      </c>
      <c r="D27" s="1406"/>
      <c r="E27" s="1406"/>
      <c r="F27" s="1406"/>
      <c r="G27" s="1406"/>
      <c r="I27" s="1406"/>
      <c r="J27" s="1458">
        <f t="shared" si="0"/>
        <v>0</v>
      </c>
      <c r="K27" s="1414"/>
      <c r="L27" s="1414"/>
      <c r="N27" s="1407">
        <f t="shared" si="2"/>
        <v>0</v>
      </c>
      <c r="O27" s="1406"/>
      <c r="P27" s="1415"/>
      <c r="Q27" s="1410"/>
      <c r="S27" s="1411"/>
      <c r="T27" s="1411"/>
      <c r="V27" s="1410"/>
      <c r="W27" s="1410"/>
      <c r="AC27" s="508"/>
    </row>
    <row r="28" spans="1:70" x14ac:dyDescent="0.2">
      <c r="A28" s="551" t="str">
        <f>IF(LEN(КАФЕДРА!A28)&gt;2,КАФЕДРА!A28,"")</f>
        <v>Оториноларингологии с курсом ДПО</v>
      </c>
      <c r="B28" s="442" t="str">
        <f>КАФЕДРА!$D28</f>
        <v>КМЕДИЦИНЫ</v>
      </c>
      <c r="C28" s="1405">
        <f t="shared" si="1"/>
        <v>0</v>
      </c>
      <c r="D28" s="1406"/>
      <c r="E28" s="1406"/>
      <c r="F28" s="1406"/>
      <c r="G28" s="1406"/>
      <c r="I28" s="1406"/>
      <c r="J28" s="1458">
        <f t="shared" si="0"/>
        <v>0</v>
      </c>
      <c r="K28" s="1408"/>
      <c r="L28" s="1408"/>
      <c r="N28" s="1407">
        <f t="shared" si="2"/>
        <v>0</v>
      </c>
      <c r="O28" s="1406"/>
      <c r="P28" s="1416"/>
      <c r="Q28" s="1410"/>
      <c r="S28" s="1411"/>
      <c r="T28" s="1411"/>
      <c r="V28" s="1410"/>
      <c r="W28" s="1410"/>
      <c r="AC28" s="508"/>
    </row>
    <row r="29" spans="1:70" x14ac:dyDescent="0.2">
      <c r="A29" s="551" t="str">
        <f>IF(LEN(КАФЕДРА!A29)&gt;2,КАФЕДРА!A29,"")</f>
        <v>Поликлинической терапии</v>
      </c>
      <c r="B29" s="442" t="str">
        <f>КАФЕДРА!$D29</f>
        <v>КМЕДИЦИНЫ</v>
      </c>
      <c r="C29" s="1405">
        <f t="shared" si="1"/>
        <v>0</v>
      </c>
      <c r="D29" s="1406"/>
      <c r="E29" s="1406"/>
      <c r="F29" s="1406"/>
      <c r="G29" s="1406"/>
      <c r="I29" s="1406"/>
      <c r="J29" s="1458">
        <f t="shared" si="0"/>
        <v>0</v>
      </c>
      <c r="K29" s="1417"/>
      <c r="L29" s="1417"/>
      <c r="N29" s="1407">
        <f t="shared" si="2"/>
        <v>0</v>
      </c>
      <c r="O29" s="1406"/>
      <c r="P29" s="1416"/>
      <c r="Q29" s="1410"/>
      <c r="S29" s="1411"/>
      <c r="T29" s="1411"/>
      <c r="V29" s="1410"/>
      <c r="W29" s="1410"/>
      <c r="AC29" s="508"/>
    </row>
    <row r="30" spans="1:70" x14ac:dyDescent="0.2">
      <c r="A30" s="551" t="str">
        <f>IF(LEN(КАФЕДРА!A30)&gt;2,КАФЕДРА!A30,"")</f>
        <v>Пропедевтики внутренних болезней имени профессора З.С. Баркагана</v>
      </c>
      <c r="B30" s="442" t="str">
        <f>КАФЕДРА!$D30</f>
        <v>КМЕДИЦИНЫ</v>
      </c>
      <c r="C30" s="1405">
        <f t="shared" si="1"/>
        <v>0</v>
      </c>
      <c r="D30" s="1406"/>
      <c r="E30" s="1406"/>
      <c r="F30" s="1406"/>
      <c r="G30" s="1406"/>
      <c r="I30" s="1406"/>
      <c r="J30" s="1458">
        <f t="shared" si="0"/>
        <v>0</v>
      </c>
      <c r="K30" s="1412"/>
      <c r="L30" s="1412"/>
      <c r="N30" s="1407">
        <f t="shared" si="2"/>
        <v>0</v>
      </c>
      <c r="O30" s="1406"/>
      <c r="P30" s="1413"/>
      <c r="Q30" s="1410"/>
      <c r="S30" s="1411"/>
      <c r="T30" s="1411"/>
      <c r="V30" s="1410"/>
      <c r="W30" s="1410"/>
      <c r="AC30" s="508"/>
    </row>
    <row r="31" spans="1:70" x14ac:dyDescent="0.2">
      <c r="A31" s="551" t="str">
        <f>IF(LEN(КАФЕДРА!A31)&gt;2,КАФЕДРА!A31,"")</f>
        <v>Терапии и общей врачебной практики с курсом ДПО</v>
      </c>
      <c r="B31" s="442" t="str">
        <f>КАФЕДРА!$D31</f>
        <v>КМЕДИЦИНЫ</v>
      </c>
      <c r="C31" s="1405">
        <f t="shared" si="1"/>
        <v>0</v>
      </c>
      <c r="D31" s="1406"/>
      <c r="E31" s="1406"/>
      <c r="F31" s="1406"/>
      <c r="G31" s="1406"/>
      <c r="I31" s="1406"/>
      <c r="J31" s="1458">
        <f t="shared" si="0"/>
        <v>0</v>
      </c>
      <c r="K31" s="1408"/>
      <c r="L31" s="1408"/>
      <c r="N31" s="1407">
        <f t="shared" si="2"/>
        <v>0</v>
      </c>
      <c r="O31" s="1406"/>
      <c r="P31" s="1409"/>
      <c r="Q31" s="1410"/>
      <c r="S31" s="1411"/>
      <c r="T31" s="1411"/>
      <c r="V31" s="1410"/>
      <c r="W31" s="1410"/>
      <c r="AC31" s="508"/>
    </row>
    <row r="32" spans="1:70" x14ac:dyDescent="0.2">
      <c r="A32" s="551" t="str">
        <f>IF(LEN(КАФЕДРА!A32)&gt;2,КАФЕДРА!A32,"")</f>
        <v>Травматологии и ортопедии</v>
      </c>
      <c r="B32" s="442" t="str">
        <f>КАФЕДРА!$D32</f>
        <v>КМЕДИЦИНЫ</v>
      </c>
      <c r="C32" s="1405">
        <f t="shared" si="1"/>
        <v>0</v>
      </c>
      <c r="D32" s="1406"/>
      <c r="E32" s="1406"/>
      <c r="F32" s="1406"/>
      <c r="G32" s="1406"/>
      <c r="I32" s="1406"/>
      <c r="J32" s="1458">
        <f t="shared" si="0"/>
        <v>0</v>
      </c>
      <c r="K32" s="1408"/>
      <c r="L32" s="1408"/>
      <c r="N32" s="1407">
        <f t="shared" si="2"/>
        <v>0</v>
      </c>
      <c r="O32" s="1406"/>
      <c r="P32" s="1409"/>
      <c r="Q32" s="1410"/>
      <c r="S32" s="1411"/>
      <c r="T32" s="1411"/>
      <c r="V32" s="1410"/>
      <c r="W32" s="1410"/>
      <c r="AC32" s="508"/>
    </row>
    <row r="33" spans="1:29" x14ac:dyDescent="0.2">
      <c r="A33" s="551" t="str">
        <f>IF(LEN(КАФЕДРА!A33)&gt;2,КАФЕДРА!A33,"")</f>
        <v>Ультразвуковой и функциональной диагностики с курсом ДПО</v>
      </c>
      <c r="B33" s="442" t="str">
        <f>КАФЕДРА!$D33</f>
        <v>КМЕДИЦИНЫ</v>
      </c>
      <c r="C33" s="1405">
        <f t="shared" si="1"/>
        <v>0</v>
      </c>
      <c r="D33" s="1406"/>
      <c r="E33" s="1406"/>
      <c r="F33" s="1406"/>
      <c r="G33" s="1406"/>
      <c r="I33" s="1406"/>
      <c r="J33" s="1458">
        <f t="shared" si="0"/>
        <v>0</v>
      </c>
      <c r="K33" s="1414"/>
      <c r="L33" s="1414"/>
      <c r="N33" s="1407">
        <f t="shared" si="2"/>
        <v>0</v>
      </c>
      <c r="O33" s="1406"/>
      <c r="P33" s="1415"/>
      <c r="Q33" s="1410"/>
      <c r="S33" s="1411"/>
      <c r="T33" s="1411"/>
      <c r="V33" s="1410"/>
      <c r="W33" s="1410"/>
      <c r="AC33" s="508"/>
    </row>
    <row r="34" spans="1:29" x14ac:dyDescent="0.2">
      <c r="A34" s="551" t="str">
        <f>IF(LEN(КАФЕДРА!A34)&gt;2,КАФЕДРА!A34,"")</f>
        <v>Урологии и андрологии с курсом ДПО</v>
      </c>
      <c r="B34" s="442" t="str">
        <f>КАФЕДРА!$D34</f>
        <v>КМЕДИЦИНЫ</v>
      </c>
      <c r="C34" s="1405">
        <f t="shared" si="1"/>
        <v>0</v>
      </c>
      <c r="D34" s="1406"/>
      <c r="E34" s="1406"/>
      <c r="F34" s="1406"/>
      <c r="G34" s="1406"/>
      <c r="I34" s="1406"/>
      <c r="J34" s="1458">
        <f t="shared" si="0"/>
        <v>0</v>
      </c>
      <c r="K34" s="1408"/>
      <c r="L34" s="1408"/>
      <c r="N34" s="1407">
        <f t="shared" si="2"/>
        <v>0</v>
      </c>
      <c r="O34" s="1406"/>
      <c r="P34" s="1409"/>
      <c r="Q34" s="1410"/>
      <c r="S34" s="1411"/>
      <c r="T34" s="1411"/>
      <c r="V34" s="1410"/>
      <c r="W34" s="1410"/>
      <c r="AC34" s="508"/>
    </row>
    <row r="35" spans="1:29" x14ac:dyDescent="0.2">
      <c r="A35" s="551" t="str">
        <f>IF(LEN(КАФЕДРА!A35)&gt;2,КАФЕДРА!A35,"")</f>
        <v>Факультетской терапии и профессиональных болезней</v>
      </c>
      <c r="B35" s="442" t="str">
        <f>КАФЕДРА!$D35</f>
        <v>КМЕДИЦИНЫ</v>
      </c>
      <c r="C35" s="1405">
        <f t="shared" si="1"/>
        <v>0</v>
      </c>
      <c r="D35" s="1406"/>
      <c r="E35" s="1406"/>
      <c r="F35" s="1406"/>
      <c r="G35" s="1406"/>
      <c r="I35" s="1406"/>
      <c r="J35" s="1458">
        <f t="shared" si="0"/>
        <v>0</v>
      </c>
      <c r="K35" s="1408"/>
      <c r="L35" s="1408"/>
      <c r="N35" s="1407">
        <f t="shared" si="2"/>
        <v>0</v>
      </c>
      <c r="O35" s="1406"/>
      <c r="P35" s="1409"/>
      <c r="Q35" s="1410"/>
      <c r="S35" s="1411"/>
      <c r="T35" s="1411"/>
      <c r="V35" s="1410"/>
      <c r="W35" s="1410"/>
      <c r="AC35" s="508"/>
    </row>
    <row r="36" spans="1:29" ht="15" thickBot="1" x14ac:dyDescent="0.25">
      <c r="A36" s="578" t="str">
        <f>IF(LEN(КАФЕДРА!A36)&gt;2,КАФЕДРА!A36,"")</f>
        <v>Факультетской хирургии имени профессора И.И. Неймарка с курсом ДПО</v>
      </c>
      <c r="B36" s="727" t="str">
        <f>КАФЕДРА!$D36</f>
        <v>КМЕДИЦИНЫ</v>
      </c>
      <c r="C36" s="1418">
        <f t="shared" si="1"/>
        <v>0</v>
      </c>
      <c r="D36" s="1419"/>
      <c r="E36" s="1419"/>
      <c r="F36" s="1419"/>
      <c r="G36" s="1419"/>
      <c r="I36" s="1419"/>
      <c r="J36" s="1458">
        <f t="shared" si="0"/>
        <v>0</v>
      </c>
      <c r="K36" s="1421"/>
      <c r="L36" s="1421"/>
      <c r="N36" s="1420">
        <f t="shared" si="2"/>
        <v>0</v>
      </c>
      <c r="O36" s="1419"/>
      <c r="P36" s="1422"/>
      <c r="Q36" s="1423"/>
      <c r="S36" s="1424"/>
      <c r="T36" s="1424"/>
      <c r="V36" s="1423"/>
      <c r="W36" s="1423"/>
      <c r="AC36" s="508"/>
    </row>
    <row r="37" spans="1:29" x14ac:dyDescent="0.2">
      <c r="A37" s="552" t="str">
        <f>IF(LEN(КАФЕДРА!A37)&gt;2,КАФЕДРА!A37,"")</f>
        <v>Госпитальной педиатрии с курсом ДПО</v>
      </c>
      <c r="B37" s="785" t="str">
        <f>КАФЕДРА!$D37</f>
        <v>ПЕДИАТРИИ</v>
      </c>
      <c r="C37" s="1425">
        <f>$E37</f>
        <v>0</v>
      </c>
      <c r="D37" s="1426"/>
      <c r="E37" s="1426"/>
      <c r="F37" s="1426"/>
      <c r="G37" s="1426"/>
      <c r="I37" s="1426"/>
      <c r="J37" s="1458">
        <f t="shared" si="0"/>
        <v>0</v>
      </c>
      <c r="K37" s="1427"/>
      <c r="L37" s="1427"/>
      <c r="N37" s="1169">
        <f t="shared" si="2"/>
        <v>0</v>
      </c>
      <c r="O37" s="1426"/>
      <c r="P37" s="1428"/>
      <c r="Q37" s="1429"/>
      <c r="S37" s="1430"/>
      <c r="T37" s="1430"/>
      <c r="V37" s="1429"/>
      <c r="W37" s="1429"/>
      <c r="AC37" s="508"/>
    </row>
    <row r="38" spans="1:29" x14ac:dyDescent="0.2">
      <c r="A38" s="551" t="str">
        <f>IF(LEN(КАФЕДРА!A38)&gt;2,КАФЕДРА!A38,"")</f>
        <v>Лучевой диагностики и эндоскопии с курсом ДПО</v>
      </c>
      <c r="B38" s="786" t="str">
        <f>КАФЕДРА!$D38</f>
        <v>ПЕДИАТРИИ</v>
      </c>
      <c r="C38" s="1405">
        <f>$E38</f>
        <v>0</v>
      </c>
      <c r="D38" s="1426"/>
      <c r="E38" s="1426"/>
      <c r="F38" s="1426"/>
      <c r="G38" s="1426"/>
      <c r="I38" s="1406"/>
      <c r="J38" s="1458">
        <f t="shared" si="0"/>
        <v>0</v>
      </c>
      <c r="K38" s="1408"/>
      <c r="L38" s="1408"/>
      <c r="N38" s="1407">
        <f t="shared" si="2"/>
        <v>0</v>
      </c>
      <c r="O38" s="1426"/>
      <c r="P38" s="1409"/>
      <c r="Q38" s="1410"/>
      <c r="S38" s="1411"/>
      <c r="T38" s="1411"/>
      <c r="V38" s="1410"/>
      <c r="W38" s="1410"/>
      <c r="AC38" s="508"/>
    </row>
    <row r="39" spans="1:29" x14ac:dyDescent="0.2">
      <c r="A39" s="551" t="str">
        <f>IF(LEN(КАФЕДРА!A39)&gt;2,КАФЕДРА!A39,"")</f>
        <v>Неонатологии и детской анестезиологии с курсом ДПО</v>
      </c>
      <c r="B39" s="786" t="str">
        <f>КАФЕДРА!$D39</f>
        <v>ПЕДИАТРИИ</v>
      </c>
      <c r="C39" s="1405">
        <f t="shared" si="1"/>
        <v>0</v>
      </c>
      <c r="D39" s="1426"/>
      <c r="E39" s="1426"/>
      <c r="F39" s="1426"/>
      <c r="G39" s="1426"/>
      <c r="I39" s="1426"/>
      <c r="J39" s="1458">
        <f t="shared" si="0"/>
        <v>0</v>
      </c>
      <c r="K39" s="1408"/>
      <c r="L39" s="1408"/>
      <c r="N39" s="1407">
        <f t="shared" si="2"/>
        <v>0</v>
      </c>
      <c r="O39" s="1426"/>
      <c r="P39" s="1416"/>
      <c r="Q39" s="1410"/>
      <c r="S39" s="1411"/>
      <c r="T39" s="1411"/>
      <c r="V39" s="1410"/>
      <c r="W39" s="1410"/>
      <c r="AC39" s="508"/>
    </row>
    <row r="40" spans="1:29" x14ac:dyDescent="0.2">
      <c r="A40" s="551" t="str">
        <f>IF(LEN(КАФЕДРА!A40)&gt;2,КАФЕДРА!A40,"")</f>
        <v>Онкологии, лучевой терапии с курсом ДПО</v>
      </c>
      <c r="B40" s="786" t="str">
        <f>КАФЕДРА!$D40</f>
        <v>ПЕДИАТРИИ</v>
      </c>
      <c r="C40" s="1405">
        <f t="shared" si="1"/>
        <v>0</v>
      </c>
      <c r="D40" s="1426"/>
      <c r="E40" s="1426"/>
      <c r="F40" s="1426"/>
      <c r="G40" s="1426"/>
      <c r="I40" s="1406"/>
      <c r="J40" s="1458">
        <f t="shared" si="0"/>
        <v>0</v>
      </c>
      <c r="K40" s="1417"/>
      <c r="L40" s="1417"/>
      <c r="N40" s="1407">
        <f t="shared" si="2"/>
        <v>0</v>
      </c>
      <c r="O40" s="1426"/>
      <c r="P40" s="1416"/>
      <c r="Q40" s="1410"/>
      <c r="S40" s="1411"/>
      <c r="T40" s="1411"/>
      <c r="V40" s="1410"/>
      <c r="W40" s="1410"/>
      <c r="AC40" s="508"/>
    </row>
    <row r="41" spans="1:29" x14ac:dyDescent="0.2">
      <c r="A41" s="551" t="str">
        <f>IF(LEN(КАФЕДРА!A41)&gt;2,КАФЕДРА!A41,"")</f>
        <v>Офтальмологии с курсом ДПО</v>
      </c>
      <c r="B41" s="786" t="str">
        <f>КАФЕДРА!$D41</f>
        <v>ПЕДИАТРИИ</v>
      </c>
      <c r="C41" s="1405">
        <f t="shared" si="1"/>
        <v>0</v>
      </c>
      <c r="D41" s="1426"/>
      <c r="E41" s="1426"/>
      <c r="F41" s="1426"/>
      <c r="G41" s="1426"/>
      <c r="I41" s="1426"/>
      <c r="J41" s="1458">
        <f t="shared" si="0"/>
        <v>0</v>
      </c>
      <c r="K41" s="1408"/>
      <c r="L41" s="1408"/>
      <c r="N41" s="1407">
        <f t="shared" si="2"/>
        <v>0</v>
      </c>
      <c r="O41" s="1426"/>
      <c r="P41" s="1416"/>
      <c r="Q41" s="1410"/>
      <c r="S41" s="1411"/>
      <c r="T41" s="1411"/>
      <c r="V41" s="1410"/>
      <c r="W41" s="1410"/>
      <c r="AC41" s="508"/>
    </row>
    <row r="42" spans="1:29" x14ac:dyDescent="0.2">
      <c r="A42" s="551" t="str">
        <f>IF(LEN(КАФЕДРА!A42)&gt;2,КАФЕДРА!A42,"")</f>
        <v>Патологической физиологии</v>
      </c>
      <c r="B42" s="786" t="str">
        <f>КАФЕДРА!$D42</f>
        <v>ПЕДИАТРИИ</v>
      </c>
      <c r="C42" s="1405">
        <f t="shared" si="1"/>
        <v>0</v>
      </c>
      <c r="D42" s="1426"/>
      <c r="E42" s="1426"/>
      <c r="F42" s="1426"/>
      <c r="G42" s="1426"/>
      <c r="I42" s="1406"/>
      <c r="J42" s="1458">
        <f t="shared" si="0"/>
        <v>0</v>
      </c>
      <c r="K42" s="1412"/>
      <c r="L42" s="1412"/>
      <c r="N42" s="1407">
        <f t="shared" si="2"/>
        <v>0</v>
      </c>
      <c r="O42" s="1426"/>
      <c r="P42" s="1413"/>
      <c r="Q42" s="1410"/>
      <c r="S42" s="1411"/>
      <c r="T42" s="1411"/>
      <c r="V42" s="1410"/>
      <c r="W42" s="1410"/>
      <c r="AC42" s="508"/>
    </row>
    <row r="43" spans="1:29" x14ac:dyDescent="0.2">
      <c r="A43" s="551" t="str">
        <f>IF(LEN(КАФЕДРА!A43)&gt;2,КАФЕДРА!A43,"")</f>
        <v>Пропедевтики детских болезней</v>
      </c>
      <c r="B43" s="786" t="str">
        <f>КАФЕДРА!$D43</f>
        <v>ПЕДИАТРИИ</v>
      </c>
      <c r="C43" s="1405">
        <f t="shared" si="1"/>
        <v>0</v>
      </c>
      <c r="D43" s="1426"/>
      <c r="E43" s="1426"/>
      <c r="F43" s="1426"/>
      <c r="G43" s="1426"/>
      <c r="I43" s="1426"/>
      <c r="J43" s="1458">
        <f t="shared" si="0"/>
        <v>0</v>
      </c>
      <c r="K43" s="1408"/>
      <c r="L43" s="1408"/>
      <c r="N43" s="1407">
        <f t="shared" si="2"/>
        <v>0</v>
      </c>
      <c r="O43" s="1426"/>
      <c r="P43" s="1415"/>
      <c r="Q43" s="1410"/>
      <c r="S43" s="1411"/>
      <c r="T43" s="1411"/>
      <c r="V43" s="1410"/>
      <c r="W43" s="1410"/>
      <c r="AC43" s="508"/>
    </row>
    <row r="44" spans="1:29" x14ac:dyDescent="0.2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786" t="str">
        <f>КАФЕДРА!$D44</f>
        <v>ПЕДИАТРИИ</v>
      </c>
      <c r="C44" s="1405">
        <f t="shared" si="1"/>
        <v>0</v>
      </c>
      <c r="D44" s="1426"/>
      <c r="E44" s="1426"/>
      <c r="F44" s="1426"/>
      <c r="G44" s="1426"/>
      <c r="I44" s="1406"/>
      <c r="J44" s="1458">
        <f t="shared" si="0"/>
        <v>0</v>
      </c>
      <c r="K44" s="1408"/>
      <c r="L44" s="1408"/>
      <c r="N44" s="1407">
        <f t="shared" si="2"/>
        <v>0</v>
      </c>
      <c r="O44" s="1426"/>
      <c r="P44" s="1409"/>
      <c r="Q44" s="1410"/>
      <c r="S44" s="1411"/>
      <c r="T44" s="1411"/>
      <c r="V44" s="1410"/>
      <c r="W44" s="1410"/>
      <c r="AC44" s="508"/>
    </row>
    <row r="45" spans="1:29" x14ac:dyDescent="0.2">
      <c r="A45" s="551" t="str">
        <f>IF(LEN(КАФЕДРА!A45)&gt;2,КАФЕДРА!A45,"")</f>
        <v>Факультетской педиатрии</v>
      </c>
      <c r="B45" s="786" t="str">
        <f>КАФЕДРА!$D45</f>
        <v>ПЕДИАТРИИ</v>
      </c>
      <c r="C45" s="1405">
        <f t="shared" si="1"/>
        <v>0</v>
      </c>
      <c r="D45" s="1426"/>
      <c r="E45" s="1426"/>
      <c r="F45" s="1426"/>
      <c r="G45" s="1426"/>
      <c r="I45" s="1426"/>
      <c r="J45" s="1458">
        <f t="shared" si="0"/>
        <v>0</v>
      </c>
      <c r="K45" s="1412"/>
      <c r="L45" s="1412"/>
      <c r="N45" s="1407">
        <f t="shared" si="2"/>
        <v>0</v>
      </c>
      <c r="O45" s="1426"/>
      <c r="P45" s="1413"/>
      <c r="Q45" s="1410"/>
      <c r="S45" s="1411"/>
      <c r="T45" s="1411"/>
      <c r="V45" s="1410"/>
      <c r="W45" s="1410"/>
      <c r="AC45" s="508"/>
    </row>
    <row r="46" spans="1:29" x14ac:dyDescent="0.2">
      <c r="A46" s="551" t="str">
        <f>IF(LEN(КАФЕДРА!A46)&gt;2,КАФЕДРА!A46,"")</f>
        <v>Хирургических болезней детского возраста</v>
      </c>
      <c r="B46" s="786" t="str">
        <f>КАФЕДРА!$D46</f>
        <v>ПЕДИАТРИИ</v>
      </c>
      <c r="C46" s="1405">
        <f t="shared" si="1"/>
        <v>0</v>
      </c>
      <c r="D46" s="1426"/>
      <c r="E46" s="1426"/>
      <c r="F46" s="1426"/>
      <c r="G46" s="1426"/>
      <c r="I46" s="1406"/>
      <c r="J46" s="1458">
        <f t="shared" si="0"/>
        <v>0</v>
      </c>
      <c r="K46" s="1417"/>
      <c r="L46" s="1417"/>
      <c r="N46" s="1407">
        <f t="shared" si="2"/>
        <v>0</v>
      </c>
      <c r="O46" s="1426"/>
      <c r="P46" s="1416"/>
      <c r="Q46" s="1410"/>
      <c r="S46" s="1411"/>
      <c r="T46" s="1411"/>
      <c r="V46" s="1410"/>
      <c r="W46" s="1410"/>
      <c r="AC46" s="508"/>
    </row>
    <row r="47" spans="1:29" s="767" customFormat="1" ht="15" thickBot="1" x14ac:dyDescent="0.25">
      <c r="A47" s="877" t="str">
        <f>IF(LEN(КАФЕДРА!A47)&gt;2,КАФЕДРА!A47,"")</f>
        <v>Клинической фармакологии</v>
      </c>
      <c r="B47" s="879" t="str">
        <f>КАФЕДРА!$D47</f>
        <v>ПЕДИАТРИИ</v>
      </c>
      <c r="C47" s="1431">
        <f t="shared" si="1"/>
        <v>0</v>
      </c>
      <c r="D47" s="1419"/>
      <c r="E47" s="1419"/>
      <c r="F47" s="1419"/>
      <c r="G47" s="1419"/>
      <c r="H47" s="402"/>
      <c r="I47" s="1432"/>
      <c r="J47" s="1458">
        <f t="shared" si="0"/>
        <v>0</v>
      </c>
      <c r="K47" s="1433"/>
      <c r="L47" s="1433"/>
      <c r="M47" s="402"/>
      <c r="N47" s="1420">
        <f t="shared" si="2"/>
        <v>0</v>
      </c>
      <c r="O47" s="1419"/>
      <c r="P47" s="1434"/>
      <c r="Q47" s="1435"/>
      <c r="R47" s="402"/>
      <c r="S47" s="1436"/>
      <c r="T47" s="1436"/>
      <c r="U47" s="402"/>
      <c r="V47" s="1435"/>
      <c r="W47" s="1423"/>
      <c r="AC47" s="508"/>
    </row>
    <row r="48" spans="1:29" x14ac:dyDescent="0.2">
      <c r="A48" s="552" t="str">
        <f>IF(LEN(КАФЕДРА!A48)&gt;2,КАФЕДРА!A48,"")</f>
        <v>Ортопедической стоматологии</v>
      </c>
      <c r="B48" s="788" t="str">
        <f>КАФЕДРА!$D48</f>
        <v>СТОМ</v>
      </c>
      <c r="C48" s="1425">
        <f t="shared" si="1"/>
        <v>0</v>
      </c>
      <c r="D48" s="1426"/>
      <c r="E48" s="1426"/>
      <c r="F48" s="1426"/>
      <c r="G48" s="1426"/>
      <c r="I48" s="1426"/>
      <c r="J48" s="1458">
        <f t="shared" si="0"/>
        <v>0</v>
      </c>
      <c r="K48" s="1437"/>
      <c r="L48" s="1437"/>
      <c r="N48" s="1169">
        <f t="shared" si="2"/>
        <v>0</v>
      </c>
      <c r="O48" s="1426"/>
      <c r="P48" s="1438"/>
      <c r="Q48" s="1429"/>
      <c r="S48" s="1430"/>
      <c r="T48" s="1430"/>
      <c r="V48" s="1429"/>
      <c r="W48" s="1429"/>
      <c r="AC48" s="508"/>
    </row>
    <row r="49" spans="1:29" x14ac:dyDescent="0.2">
      <c r="A49" s="551" t="str">
        <f>IF(LEN(КАФЕДРА!A49)&gt;2,КАФЕДРА!A49,"")</f>
        <v>Стоматологии детского возраста</v>
      </c>
      <c r="B49" s="789" t="str">
        <f>КАФЕДРА!$D49</f>
        <v>СТОМ</v>
      </c>
      <c r="C49" s="1405">
        <f t="shared" si="1"/>
        <v>0</v>
      </c>
      <c r="D49" s="1426"/>
      <c r="E49" s="1426"/>
      <c r="F49" s="1426"/>
      <c r="G49" s="1426"/>
      <c r="I49" s="1406"/>
      <c r="J49" s="1458">
        <f t="shared" si="0"/>
        <v>0</v>
      </c>
      <c r="K49" s="1408"/>
      <c r="L49" s="1408"/>
      <c r="N49" s="1407">
        <f t="shared" si="2"/>
        <v>0</v>
      </c>
      <c r="O49" s="1426"/>
      <c r="P49" s="1409"/>
      <c r="Q49" s="1410"/>
      <c r="S49" s="1411"/>
      <c r="T49" s="1411"/>
      <c r="V49" s="1410"/>
      <c r="W49" s="1410"/>
      <c r="AC49" s="508"/>
    </row>
    <row r="50" spans="1:29" x14ac:dyDescent="0.2">
      <c r="A50" s="551" t="str">
        <f>IF(LEN(КАФЕДРА!A50)&gt;2,КАФЕДРА!A50,"")</f>
        <v>Терапевтической стоматологии</v>
      </c>
      <c r="B50" s="789" t="str">
        <f>КАФЕДРА!$D50</f>
        <v>СТОМ</v>
      </c>
      <c r="C50" s="1405">
        <f t="shared" si="1"/>
        <v>0</v>
      </c>
      <c r="D50" s="1426"/>
      <c r="E50" s="1426"/>
      <c r="F50" s="1426"/>
      <c r="G50" s="1426"/>
      <c r="I50" s="1426"/>
      <c r="J50" s="1458">
        <f t="shared" si="0"/>
        <v>0</v>
      </c>
      <c r="K50" s="1412"/>
      <c r="L50" s="1412"/>
      <c r="N50" s="1407">
        <f t="shared" si="2"/>
        <v>0</v>
      </c>
      <c r="O50" s="1426"/>
      <c r="P50" s="1413"/>
      <c r="Q50" s="1410"/>
      <c r="S50" s="1411"/>
      <c r="T50" s="1411"/>
      <c r="V50" s="1410"/>
      <c r="W50" s="1410"/>
      <c r="AC50" s="508"/>
    </row>
    <row r="51" spans="1:29" s="557" customFormat="1" x14ac:dyDescent="0.2">
      <c r="A51" s="551" t="str">
        <f>IF(LEN(КАФЕДРА!A51)&gt;2,КАФЕДРА!A51,"")</f>
        <v>Физической культуры и здорового образа жизни</v>
      </c>
      <c r="B51" s="789" t="str">
        <f>КАФЕДРА!$D51</f>
        <v>СТОМ</v>
      </c>
      <c r="C51" s="1405">
        <f t="shared" si="1"/>
        <v>0</v>
      </c>
      <c r="D51" s="1426"/>
      <c r="E51" s="1426"/>
      <c r="F51" s="1426"/>
      <c r="G51" s="1426"/>
      <c r="H51" s="402"/>
      <c r="I51" s="1406"/>
      <c r="J51" s="1458">
        <f t="shared" si="0"/>
        <v>0</v>
      </c>
      <c r="K51" s="1414"/>
      <c r="L51" s="1414"/>
      <c r="M51" s="402"/>
      <c r="N51" s="1407">
        <f t="shared" si="2"/>
        <v>0</v>
      </c>
      <c r="O51" s="1426"/>
      <c r="P51" s="1415"/>
      <c r="Q51" s="1410"/>
      <c r="R51" s="402"/>
      <c r="S51" s="1411"/>
      <c r="T51" s="1411"/>
      <c r="U51" s="402"/>
      <c r="V51" s="1410"/>
      <c r="W51" s="1410"/>
      <c r="AC51" s="558"/>
    </row>
    <row r="52" spans="1:29" ht="15" thickBot="1" x14ac:dyDescent="0.25">
      <c r="A52" s="578" t="str">
        <f>IF(LEN(КАФЕДРА!A52)&gt;2,КАФЕДРА!A52,"")</f>
        <v>Хирургической стоматологии, челюстно-лицевой хирургии</v>
      </c>
      <c r="B52" s="790" t="str">
        <f>КАФЕДРА!$D52</f>
        <v>СТОМ</v>
      </c>
      <c r="C52" s="1418">
        <f t="shared" si="1"/>
        <v>0</v>
      </c>
      <c r="D52" s="1432"/>
      <c r="E52" s="1432"/>
      <c r="F52" s="1432"/>
      <c r="G52" s="1432"/>
      <c r="I52" s="1432"/>
      <c r="J52" s="1458">
        <f t="shared" si="0"/>
        <v>0</v>
      </c>
      <c r="K52" s="1439"/>
      <c r="L52" s="1439"/>
      <c r="N52" s="1420">
        <f t="shared" si="2"/>
        <v>0</v>
      </c>
      <c r="O52" s="1432"/>
      <c r="P52" s="1440"/>
      <c r="Q52" s="1423"/>
      <c r="S52" s="1424"/>
      <c r="T52" s="1424"/>
      <c r="V52" s="1423"/>
      <c r="W52" s="1423"/>
      <c r="AC52" s="508"/>
    </row>
    <row r="53" spans="1:29" x14ac:dyDescent="0.2">
      <c r="A53" s="552" t="str">
        <f>IF(LEN(КАФЕДРА!A53)&gt;2,КАФЕДРА!A53,"")</f>
        <v>Биологии, гистологии, эмбриологии и цитологии</v>
      </c>
      <c r="B53" s="791" t="str">
        <f>КАФЕДРА!$D53</f>
        <v>ОЗДОРОВЬЯ</v>
      </c>
      <c r="C53" s="1425">
        <f t="shared" si="1"/>
        <v>0</v>
      </c>
      <c r="D53" s="1426"/>
      <c r="E53" s="1426"/>
      <c r="F53" s="1426"/>
      <c r="G53" s="1426"/>
      <c r="I53" s="1426"/>
      <c r="J53" s="1458">
        <f t="shared" si="0"/>
        <v>0</v>
      </c>
      <c r="K53" s="1441"/>
      <c r="L53" s="1441"/>
      <c r="N53" s="1169">
        <f t="shared" si="2"/>
        <v>0</v>
      </c>
      <c r="O53" s="1426"/>
      <c r="P53" s="1442"/>
      <c r="Q53" s="1429"/>
      <c r="S53" s="1430"/>
      <c r="T53" s="1430"/>
      <c r="V53" s="1429"/>
      <c r="W53" s="1429"/>
      <c r="AC53" s="508"/>
    </row>
    <row r="54" spans="1:29" x14ac:dyDescent="0.2">
      <c r="A54" s="551" t="str">
        <f>IF(LEN(КАФЕДРА!A54)&gt;2,КАФЕДРА!A54,"")</f>
        <v>Гигиены и основ экологии</v>
      </c>
      <c r="B54" s="792" t="str">
        <f>КАФЕДРА!$D54</f>
        <v>ОЗДОРОВЬЯ</v>
      </c>
      <c r="C54" s="1405">
        <f t="shared" si="1"/>
        <v>0</v>
      </c>
      <c r="D54" s="1426"/>
      <c r="E54" s="1426"/>
      <c r="F54" s="1426"/>
      <c r="G54" s="1426"/>
      <c r="I54" s="1426"/>
      <c r="J54" s="1458">
        <f t="shared" si="0"/>
        <v>0</v>
      </c>
      <c r="K54" s="1408"/>
      <c r="L54" s="1408"/>
      <c r="N54" s="1407">
        <f t="shared" si="2"/>
        <v>0</v>
      </c>
      <c r="O54" s="1426"/>
      <c r="P54" s="1409"/>
      <c r="Q54" s="1410"/>
      <c r="S54" s="1411"/>
      <c r="T54" s="1411"/>
      <c r="V54" s="1410"/>
      <c r="W54" s="1410"/>
      <c r="AC54" s="508"/>
    </row>
    <row r="55" spans="1:29" x14ac:dyDescent="0.2">
      <c r="A55" s="551" t="str">
        <f>IF(LEN(КАФЕДРА!A55)&gt;2,КАФЕДРА!A55,"")</f>
        <v>Дерматовенерологии, косметологии и иммунологии</v>
      </c>
      <c r="B55" s="792" t="str">
        <f>КАФЕДРА!$D55</f>
        <v>ОЗДОРОВЬЯ</v>
      </c>
      <c r="C55" s="1405">
        <f t="shared" si="1"/>
        <v>0</v>
      </c>
      <c r="D55" s="1426"/>
      <c r="E55" s="1426"/>
      <c r="F55" s="1426"/>
      <c r="G55" s="1426"/>
      <c r="I55" s="1406"/>
      <c r="J55" s="1458">
        <f t="shared" si="0"/>
        <v>0</v>
      </c>
      <c r="K55" s="1414"/>
      <c r="L55" s="1414"/>
      <c r="N55" s="1407">
        <f t="shared" si="2"/>
        <v>0</v>
      </c>
      <c r="O55" s="1426"/>
      <c r="P55" s="1415"/>
      <c r="Q55" s="1410"/>
      <c r="S55" s="1411"/>
      <c r="T55" s="1411"/>
      <c r="V55" s="1410"/>
      <c r="W55" s="1410"/>
      <c r="AC55" s="508"/>
    </row>
    <row r="56" spans="1:29" x14ac:dyDescent="0.2">
      <c r="A56" s="551" t="str">
        <f>IF(LEN(КАФЕДРА!A56)&gt;2,КАФЕДРА!A56,"")</f>
        <v>Инфекционных болезней с курсом ДПО</v>
      </c>
      <c r="B56" s="792" t="str">
        <f>КАФЕДРА!$D56</f>
        <v>ОЗДОРОВЬЯ</v>
      </c>
      <c r="C56" s="1405">
        <f t="shared" si="1"/>
        <v>0</v>
      </c>
      <c r="D56" s="1426"/>
      <c r="E56" s="1426"/>
      <c r="F56" s="1426"/>
      <c r="G56" s="1426"/>
      <c r="I56" s="1426"/>
      <c r="J56" s="1458">
        <f t="shared" si="0"/>
        <v>0</v>
      </c>
      <c r="K56" s="1417"/>
      <c r="L56" s="1417"/>
      <c r="N56" s="1407">
        <f t="shared" si="2"/>
        <v>0</v>
      </c>
      <c r="O56" s="1426"/>
      <c r="P56" s="1416"/>
      <c r="Q56" s="1410"/>
      <c r="S56" s="1411"/>
      <c r="T56" s="1411"/>
      <c r="V56" s="1410"/>
      <c r="W56" s="1410"/>
      <c r="AC56" s="508"/>
    </row>
    <row r="57" spans="1:29" x14ac:dyDescent="0.2">
      <c r="A57" s="551" t="str">
        <f>IF(LEN(КАФЕДРА!A57)&gt;2,КАФЕДРА!A57,"")</f>
        <v>Медицины катастроф и безопасности жизнедеятельности</v>
      </c>
      <c r="B57" s="792" t="str">
        <f>КАФЕДРА!$D57</f>
        <v>ОЗДОРОВЬЯ</v>
      </c>
      <c r="C57" s="1405">
        <f t="shared" si="1"/>
        <v>0</v>
      </c>
      <c r="D57" s="1426"/>
      <c r="E57" s="1426"/>
      <c r="F57" s="1426"/>
      <c r="G57" s="1426"/>
      <c r="I57" s="1406"/>
      <c r="J57" s="1458">
        <f t="shared" si="0"/>
        <v>0</v>
      </c>
      <c r="K57" s="1414"/>
      <c r="L57" s="1414"/>
      <c r="N57" s="1407">
        <f t="shared" si="2"/>
        <v>0</v>
      </c>
      <c r="O57" s="1426"/>
      <c r="P57" s="1409"/>
      <c r="Q57" s="1410"/>
      <c r="S57" s="1411"/>
      <c r="T57" s="1411"/>
      <c r="V57" s="1410"/>
      <c r="W57" s="1410"/>
      <c r="AC57" s="508"/>
    </row>
    <row r="58" spans="1:29" x14ac:dyDescent="0.2">
      <c r="A58" s="551" t="str">
        <f>IF(LEN(КАФЕДРА!A58)&gt;2,КАФЕДРА!A58,"")</f>
        <v>Медицинского права</v>
      </c>
      <c r="B58" s="792" t="str">
        <f>КАФЕДРА!$D58</f>
        <v>ОЗДОРОВЬЯ</v>
      </c>
      <c r="C58" s="1405">
        <f t="shared" si="1"/>
        <v>0</v>
      </c>
      <c r="D58" s="1426"/>
      <c r="E58" s="1426"/>
      <c r="F58" s="1426"/>
      <c r="G58" s="1426"/>
      <c r="I58" s="1426"/>
      <c r="J58" s="1458">
        <f t="shared" si="0"/>
        <v>0</v>
      </c>
      <c r="K58" s="1408"/>
      <c r="L58" s="1408"/>
      <c r="N58" s="1407">
        <f t="shared" si="2"/>
        <v>0</v>
      </c>
      <c r="O58" s="1426"/>
      <c r="P58" s="1409"/>
      <c r="Q58" s="1410"/>
      <c r="S58" s="1411"/>
      <c r="T58" s="1411"/>
      <c r="V58" s="1410"/>
      <c r="W58" s="1410"/>
      <c r="AC58" s="508"/>
    </row>
    <row r="59" spans="1:29" x14ac:dyDescent="0.2">
      <c r="A59" s="551" t="str">
        <f>IF(LEN(КАФЕДРА!A59)&gt;2,КАФЕДРА!A59,"")</f>
        <v>Общественного здоровья и здравоохранения</v>
      </c>
      <c r="B59" s="792" t="str">
        <f>КАФЕДРА!$D59</f>
        <v>ОЗДОРОВЬЯ</v>
      </c>
      <c r="C59" s="1405">
        <f t="shared" si="1"/>
        <v>0</v>
      </c>
      <c r="D59" s="1426"/>
      <c r="E59" s="1426"/>
      <c r="F59" s="1426"/>
      <c r="G59" s="1426"/>
      <c r="I59" s="1406"/>
      <c r="J59" s="1458">
        <f t="shared" si="0"/>
        <v>0</v>
      </c>
      <c r="K59" s="1412"/>
      <c r="L59" s="1412"/>
      <c r="N59" s="1407">
        <f t="shared" si="2"/>
        <v>0</v>
      </c>
      <c r="O59" s="1426"/>
      <c r="P59" s="1413"/>
      <c r="Q59" s="1410"/>
      <c r="S59" s="1411"/>
      <c r="T59" s="1411"/>
      <c r="V59" s="1410"/>
      <c r="W59" s="1410"/>
      <c r="AC59" s="508"/>
    </row>
    <row r="60" spans="1:29" x14ac:dyDescent="0.2">
      <c r="A60" s="551" t="str">
        <f>IF(LEN(КАФЕДРА!A60)&gt;2,КАФЕДРА!A60,"")</f>
        <v>Пульмонологии и фтизиатрии с курсом ДПО</v>
      </c>
      <c r="B60" s="792" t="str">
        <f>КАФЕДРА!$D60</f>
        <v>ОЗДОРОВЬЯ</v>
      </c>
      <c r="C60" s="1405">
        <f t="shared" si="1"/>
        <v>0</v>
      </c>
      <c r="D60" s="1426"/>
      <c r="E60" s="1426"/>
      <c r="F60" s="1426"/>
      <c r="G60" s="1426"/>
      <c r="I60" s="1426"/>
      <c r="J60" s="1458">
        <f t="shared" si="0"/>
        <v>0</v>
      </c>
      <c r="K60" s="1414"/>
      <c r="L60" s="1414"/>
      <c r="N60" s="1407">
        <f t="shared" si="2"/>
        <v>0</v>
      </c>
      <c r="O60" s="1426"/>
      <c r="P60" s="1415"/>
      <c r="Q60" s="1410"/>
      <c r="S60" s="1411"/>
      <c r="T60" s="1411"/>
      <c r="V60" s="1410"/>
      <c r="W60" s="1410"/>
      <c r="AC60" s="508"/>
    </row>
    <row r="61" spans="1:29" x14ac:dyDescent="0.2">
      <c r="A61" s="551" t="str">
        <f>IF(LEN(КАФЕДРА!A61)&gt;2,КАФЕДРА!A61,"")</f>
        <v>Эпидемиологии, микробиологии и вирусологии</v>
      </c>
      <c r="B61" s="792" t="str">
        <f>КАФЕДРА!$D61</f>
        <v>ОЗДОРОВЬЯ</v>
      </c>
      <c r="C61" s="1405">
        <f t="shared" si="1"/>
        <v>0</v>
      </c>
      <c r="D61" s="1426"/>
      <c r="E61" s="1426"/>
      <c r="F61" s="1426"/>
      <c r="G61" s="1426"/>
      <c r="I61" s="1406"/>
      <c r="J61" s="1458">
        <f t="shared" si="0"/>
        <v>0</v>
      </c>
      <c r="K61" s="1412"/>
      <c r="L61" s="1412"/>
      <c r="N61" s="1407">
        <f t="shared" si="2"/>
        <v>0</v>
      </c>
      <c r="O61" s="1426"/>
      <c r="P61" s="1413"/>
      <c r="Q61" s="1410"/>
      <c r="S61" s="1411"/>
      <c r="T61" s="1411"/>
      <c r="V61" s="1410"/>
      <c r="W61" s="1410"/>
      <c r="AC61" s="508"/>
    </row>
    <row r="62" spans="1:29" ht="15" thickBot="1" x14ac:dyDescent="0.25">
      <c r="A62" s="578" t="str">
        <f>IF(LEN(КАФЕДРА!A62)&gt;2,КАФЕДРА!A62,"")</f>
        <v>Социально-гуманитарных наук</v>
      </c>
      <c r="B62" s="793" t="str">
        <f>КАФЕДРА!$D62</f>
        <v>ОЗДОРОВЬЯ</v>
      </c>
      <c r="C62" s="1418">
        <f t="shared" si="1"/>
        <v>0</v>
      </c>
      <c r="D62" s="1432"/>
      <c r="E62" s="1432"/>
      <c r="F62" s="1432"/>
      <c r="G62" s="1432"/>
      <c r="I62" s="1432"/>
      <c r="J62" s="1458">
        <f t="shared" si="0"/>
        <v>0</v>
      </c>
      <c r="K62" s="1408"/>
      <c r="L62" s="1408"/>
      <c r="N62" s="1420">
        <f t="shared" si="2"/>
        <v>0</v>
      </c>
      <c r="O62" s="1432"/>
      <c r="P62" s="1409"/>
      <c r="Q62" s="1423"/>
      <c r="S62" s="1424"/>
      <c r="T62" s="1424"/>
      <c r="V62" s="1423"/>
      <c r="W62" s="1423"/>
      <c r="AC62" s="508"/>
    </row>
    <row r="63" spans="1:29" ht="15" thickBot="1" x14ac:dyDescent="0.25">
      <c r="A63" s="579" t="str">
        <f>IF(LEN(КАФЕДРА!A63)&gt;2,КАФЕДРА!A63,"")</f>
        <v>Сестринского дела</v>
      </c>
      <c r="B63" s="794" t="str">
        <f>КАФЕДРА!$D63</f>
        <v>СПО</v>
      </c>
      <c r="C63" s="1443">
        <f t="shared" si="1"/>
        <v>0</v>
      </c>
      <c r="D63" s="1444"/>
      <c r="E63" s="1445"/>
      <c r="F63" s="1446"/>
      <c r="G63" s="1446"/>
      <c r="I63" s="1444"/>
      <c r="J63" s="1458">
        <f t="shared" si="0"/>
        <v>0</v>
      </c>
      <c r="K63" s="1444"/>
      <c r="L63" s="1444"/>
      <c r="N63" s="1447">
        <f t="shared" si="2"/>
        <v>0</v>
      </c>
      <c r="O63" s="1446"/>
      <c r="P63" s="1448"/>
      <c r="Q63" s="1449"/>
      <c r="S63" s="1436"/>
      <c r="T63" s="1436"/>
      <c r="V63" s="1435"/>
      <c r="W63" s="1435"/>
      <c r="AC63" s="508"/>
    </row>
    <row r="64" spans="1:29" x14ac:dyDescent="0.2">
      <c r="A64" s="552" t="str">
        <f>IF(LEN(КАФЕДРА!A64)&gt;2,КАФЕДРА!A64,"")</f>
        <v>Биологической химии, клинической лабораторной диагностики</v>
      </c>
      <c r="B64" s="796" t="str">
        <f>КАФЕДРА!$D64</f>
        <v>ФАРМ</v>
      </c>
      <c r="C64" s="1425">
        <f t="shared" si="1"/>
        <v>0</v>
      </c>
      <c r="D64" s="1426"/>
      <c r="E64" s="1426"/>
      <c r="F64" s="1426"/>
      <c r="G64" s="1426"/>
      <c r="I64" s="1426"/>
      <c r="J64" s="1458">
        <f t="shared" si="0"/>
        <v>0</v>
      </c>
      <c r="K64" s="1414"/>
      <c r="L64" s="1414"/>
      <c r="N64" s="1169">
        <f t="shared" si="2"/>
        <v>0</v>
      </c>
      <c r="O64" s="1426"/>
      <c r="P64" s="1415"/>
      <c r="Q64" s="1429"/>
      <c r="S64" s="1430"/>
      <c r="T64" s="1430"/>
      <c r="V64" s="1429"/>
      <c r="W64" s="1429"/>
      <c r="AC64" s="508"/>
    </row>
    <row r="65" spans="1:68" x14ac:dyDescent="0.2">
      <c r="A65" s="551" t="str">
        <f>IF(LEN(КАФЕДРА!A65)&gt;2,КАФЕДРА!A65,"")</f>
        <v>Химии</v>
      </c>
      <c r="B65" s="797" t="str">
        <f>КАФЕДРА!$D65</f>
        <v>ФАРМ</v>
      </c>
      <c r="C65" s="1405">
        <f t="shared" si="1"/>
        <v>0</v>
      </c>
      <c r="D65" s="1426"/>
      <c r="E65" s="1426"/>
      <c r="F65" s="1426"/>
      <c r="G65" s="1426"/>
      <c r="I65" s="1406"/>
      <c r="J65" s="1458">
        <f t="shared" si="0"/>
        <v>0</v>
      </c>
      <c r="K65" s="1412"/>
      <c r="L65" s="1412"/>
      <c r="N65" s="1407">
        <f t="shared" si="2"/>
        <v>0</v>
      </c>
      <c r="O65" s="1426"/>
      <c r="P65" s="1413"/>
      <c r="Q65" s="1410"/>
      <c r="S65" s="1411"/>
      <c r="T65" s="1411"/>
      <c r="V65" s="1410"/>
      <c r="W65" s="1410"/>
      <c r="AC65" s="508"/>
    </row>
    <row r="66" spans="1:68" x14ac:dyDescent="0.2">
      <c r="A66" s="551" t="str">
        <f>IF(LEN(КАФЕДРА!A66)&gt;2,КАФЕДРА!A66,"")</f>
        <v>Фармакологии имени профессора В.М. Брюханова</v>
      </c>
      <c r="B66" s="797" t="str">
        <f>КАФЕДРА!$D66</f>
        <v>ФАРМ</v>
      </c>
      <c r="C66" s="1405">
        <f t="shared" si="1"/>
        <v>0</v>
      </c>
      <c r="D66" s="1426"/>
      <c r="E66" s="1426"/>
      <c r="F66" s="1426"/>
      <c r="G66" s="1426"/>
      <c r="I66" s="1426"/>
      <c r="J66" s="1458">
        <f t="shared" si="0"/>
        <v>0</v>
      </c>
      <c r="K66" s="1408"/>
      <c r="L66" s="1408"/>
      <c r="N66" s="1407">
        <f t="shared" si="2"/>
        <v>0</v>
      </c>
      <c r="O66" s="1426"/>
      <c r="P66" s="1409"/>
      <c r="Q66" s="1410"/>
      <c r="S66" s="1411"/>
      <c r="T66" s="1411"/>
      <c r="V66" s="1410"/>
      <c r="W66" s="1410"/>
      <c r="AC66" s="508"/>
    </row>
    <row r="67" spans="1:68" x14ac:dyDescent="0.2">
      <c r="A67" s="551" t="str">
        <f>IF(LEN(КАФЕДРА!A67)&gt;2,КАФЕДРА!A67,"")</f>
        <v>Фармации</v>
      </c>
      <c r="B67" s="797" t="str">
        <f>КАФЕДРА!$D67</f>
        <v>ФАРМ</v>
      </c>
      <c r="C67" s="1405">
        <f t="shared" si="1"/>
        <v>0</v>
      </c>
      <c r="D67" s="1426"/>
      <c r="E67" s="1426"/>
      <c r="F67" s="1426"/>
      <c r="G67" s="1426"/>
      <c r="I67" s="1406"/>
      <c r="J67" s="1458">
        <f t="shared" si="0"/>
        <v>0</v>
      </c>
      <c r="K67" s="1408"/>
      <c r="L67" s="1408"/>
      <c r="N67" s="1407">
        <f t="shared" si="2"/>
        <v>0</v>
      </c>
      <c r="O67" s="1426"/>
      <c r="P67" s="1409"/>
      <c r="Q67" s="1410"/>
      <c r="S67" s="1411"/>
      <c r="T67" s="1411"/>
      <c r="V67" s="1410"/>
      <c r="W67" s="1410"/>
      <c r="AC67" s="508"/>
    </row>
    <row r="68" spans="1:68" ht="15" thickBot="1" x14ac:dyDescent="0.25">
      <c r="A68" s="578" t="str">
        <f>IF(LEN(КАФЕДРА!A68)&gt;2,КАФЕДРА!A68,"")</f>
        <v>Физики и информатики</v>
      </c>
      <c r="B68" s="798" t="str">
        <f>КАФЕДРА!$D68</f>
        <v>ФАРМ</v>
      </c>
      <c r="C68" s="1418">
        <f t="shared" si="1"/>
        <v>0</v>
      </c>
      <c r="D68" s="1432"/>
      <c r="E68" s="1432"/>
      <c r="F68" s="1432"/>
      <c r="G68" s="1432"/>
      <c r="I68" s="1432"/>
      <c r="J68" s="1458">
        <f t="shared" si="0"/>
        <v>0</v>
      </c>
      <c r="K68" s="1433"/>
      <c r="L68" s="1433"/>
      <c r="N68" s="1420">
        <f t="shared" si="2"/>
        <v>0</v>
      </c>
      <c r="O68" s="1432"/>
      <c r="P68" s="1434"/>
      <c r="Q68" s="1423"/>
      <c r="S68" s="1424"/>
      <c r="T68" s="1424"/>
      <c r="V68" s="1423"/>
      <c r="W68" s="1423"/>
      <c r="AC68" s="508"/>
    </row>
    <row r="69" spans="1:68" x14ac:dyDescent="0.2">
      <c r="A69" s="552" t="str">
        <f>IF(LEN(КАФЕДРА!A69)&gt;2,КАФЕДРА!A69,"")</f>
        <v>Клинической психологии</v>
      </c>
      <c r="B69" s="799" t="str">
        <f>КАФЕДРА!$D69</f>
        <v>КПСИХОЛОГИИ</v>
      </c>
      <c r="C69" s="1425">
        <f t="shared" si="1"/>
        <v>0</v>
      </c>
      <c r="D69" s="1426"/>
      <c r="E69" s="1426"/>
      <c r="F69" s="1426"/>
      <c r="G69" s="1426"/>
      <c r="I69" s="1426"/>
      <c r="J69" s="1458">
        <f t="shared" si="0"/>
        <v>0</v>
      </c>
      <c r="K69" s="1441"/>
      <c r="L69" s="1441"/>
      <c r="N69" s="1169">
        <f t="shared" si="2"/>
        <v>0</v>
      </c>
      <c r="O69" s="1426"/>
      <c r="P69" s="1442"/>
      <c r="Q69" s="1429"/>
      <c r="S69" s="1430"/>
      <c r="T69" s="1430"/>
      <c r="V69" s="1429"/>
      <c r="W69" s="1429"/>
      <c r="AC69" s="508"/>
    </row>
    <row r="70" spans="1:68" x14ac:dyDescent="0.2">
      <c r="A70" s="551" t="str">
        <f>IF(LEN(КАФЕДРА!A70)&gt;2,КАФЕДРА!A70,"")</f>
        <v>Медицинской реабилитологии с курсом ДПО</v>
      </c>
      <c r="B70" s="800" t="str">
        <f>КАФЕДРА!$D70</f>
        <v>КПСИХОЛОГИИ</v>
      </c>
      <c r="C70" s="1405">
        <f t="shared" si="1"/>
        <v>0</v>
      </c>
      <c r="D70" s="1426"/>
      <c r="E70" s="1426"/>
      <c r="F70" s="1426"/>
      <c r="G70" s="1426"/>
      <c r="I70" s="1426"/>
      <c r="J70" s="1458">
        <f t="shared" si="0"/>
        <v>0</v>
      </c>
      <c r="K70" s="1408"/>
      <c r="L70" s="1408"/>
      <c r="N70" s="1407">
        <f t="shared" si="2"/>
        <v>0</v>
      </c>
      <c r="O70" s="1426"/>
      <c r="P70" s="1409"/>
      <c r="Q70" s="1410"/>
      <c r="S70" s="1411"/>
      <c r="T70" s="1411"/>
      <c r="V70" s="1410"/>
      <c r="W70" s="1410"/>
      <c r="AC70" s="508"/>
    </row>
    <row r="71" spans="1:68" x14ac:dyDescent="0.2">
      <c r="A71" s="551" t="str">
        <f>IF(LEN(КАФЕДРА!A71)&gt;2,КАФЕДРА!A71,"")</f>
        <v>Психиатрии, медицинской психологии и наркологии с курсом ДПО</v>
      </c>
      <c r="B71" s="800" t="str">
        <f>КАФЕДРА!$D71</f>
        <v>КПСИХОЛОГИИ</v>
      </c>
      <c r="C71" s="1405">
        <f t="shared" si="1"/>
        <v>0</v>
      </c>
      <c r="D71" s="1426"/>
      <c r="E71" s="1426"/>
      <c r="F71" s="1426"/>
      <c r="G71" s="1426"/>
      <c r="I71" s="1406"/>
      <c r="J71" s="1458">
        <f t="shared" si="0"/>
        <v>0</v>
      </c>
      <c r="K71" s="1408"/>
      <c r="L71" s="1408"/>
      <c r="N71" s="1407">
        <f t="shared" si="2"/>
        <v>0</v>
      </c>
      <c r="O71" s="1426"/>
      <c r="P71" s="1409"/>
      <c r="Q71" s="1410"/>
      <c r="S71" s="1411"/>
      <c r="T71" s="1411"/>
      <c r="V71" s="1410"/>
      <c r="W71" s="1410"/>
      <c r="AC71" s="508"/>
    </row>
    <row r="72" spans="1:68" x14ac:dyDescent="0.2">
      <c r="A72" s="551" t="str">
        <f>IF(LEN(КАФЕДРА!A72)&gt;2,КАФЕДРА!A72,"")</f>
        <v>Философии</v>
      </c>
      <c r="B72" s="800" t="str">
        <f>КАФЕДРА!$D72</f>
        <v>КПСИХОЛОГИИ</v>
      </c>
      <c r="C72" s="1405">
        <f t="shared" si="1"/>
        <v>0</v>
      </c>
      <c r="D72" s="1426"/>
      <c r="E72" s="1426"/>
      <c r="F72" s="1426"/>
      <c r="G72" s="1426"/>
      <c r="I72" s="1426"/>
      <c r="J72" s="1458">
        <f t="shared" si="0"/>
        <v>0</v>
      </c>
      <c r="K72" s="1412"/>
      <c r="L72" s="1412"/>
      <c r="N72" s="1407">
        <f t="shared" si="2"/>
        <v>0</v>
      </c>
      <c r="O72" s="1426"/>
      <c r="P72" s="1413"/>
      <c r="Q72" s="1410"/>
      <c r="S72" s="1411"/>
      <c r="T72" s="1411"/>
      <c r="V72" s="1410"/>
      <c r="W72" s="1410"/>
      <c r="AC72" s="508"/>
    </row>
    <row r="73" spans="1:68" s="767" customFormat="1" ht="15" thickBot="1" x14ac:dyDescent="0.25">
      <c r="A73" s="877" t="str">
        <f>IF(LEN(КАФЕДРА!A73)&gt;2,КАФЕДРА!A73,"")</f>
        <v>Истории</v>
      </c>
      <c r="B73" s="878" t="str">
        <f>КАФЕДРА!$D73</f>
        <v>КПСИХОЛОГИИ</v>
      </c>
      <c r="C73" s="1431">
        <f t="shared" si="1"/>
        <v>0</v>
      </c>
      <c r="D73" s="1432"/>
      <c r="E73" s="1432"/>
      <c r="F73" s="1432"/>
      <c r="G73" s="1432"/>
      <c r="H73" s="402"/>
      <c r="I73" s="1432"/>
      <c r="J73" s="1458">
        <f t="shared" si="0"/>
        <v>0</v>
      </c>
      <c r="K73" s="1450"/>
      <c r="L73" s="1450"/>
      <c r="M73" s="402"/>
      <c r="N73" s="1420">
        <f t="shared" si="2"/>
        <v>0</v>
      </c>
      <c r="O73" s="1432"/>
      <c r="P73" s="1440"/>
      <c r="Q73" s="1435"/>
      <c r="R73" s="402"/>
      <c r="S73" s="1436"/>
      <c r="T73" s="1436"/>
      <c r="U73" s="402"/>
      <c r="V73" s="1423"/>
      <c r="W73" s="1423"/>
      <c r="AC73" s="508"/>
    </row>
    <row r="74" spans="1:68" x14ac:dyDescent="0.2">
      <c r="A74" s="552" t="str">
        <f>IF(LEN(КАФЕДРА!A74)&gt;2,КАФЕДРА!A74,"")</f>
        <v>Иностранных языков с курсом латинского языка</v>
      </c>
      <c r="B74" s="795" t="str">
        <f>КАФЕДРА!$D74</f>
        <v>ФИС</v>
      </c>
      <c r="C74" s="1451">
        <f t="shared" si="1"/>
        <v>0</v>
      </c>
      <c r="D74" s="1426"/>
      <c r="E74" s="1426"/>
      <c r="F74" s="1426"/>
      <c r="G74" s="1426"/>
      <c r="I74" s="1426"/>
      <c r="J74" s="1458">
        <f t="shared" si="0"/>
        <v>0</v>
      </c>
      <c r="K74" s="1426"/>
      <c r="L74" s="1426"/>
      <c r="N74" s="1169">
        <f t="shared" si="2"/>
        <v>0</v>
      </c>
      <c r="O74" s="1426"/>
      <c r="P74" s="1452"/>
      <c r="Q74" s="1429"/>
      <c r="S74" s="1430"/>
      <c r="T74" s="1430"/>
      <c r="V74" s="1429"/>
      <c r="W74" s="1429"/>
      <c r="AC74" s="508"/>
    </row>
    <row r="75" spans="1:68" ht="15" thickBot="1" x14ac:dyDescent="0.25">
      <c r="A75" s="578" t="str">
        <f>IF(LEN(КАФЕДРА!A75)&gt;2,КАФЕДРА!A75,"")</f>
        <v>Русского языка как иностранного</v>
      </c>
      <c r="B75" s="1453" t="str">
        <f>КАФЕДРА!$D75</f>
        <v>ФИС</v>
      </c>
      <c r="C75" s="1454">
        <f t="shared" si="1"/>
        <v>0</v>
      </c>
      <c r="D75" s="1419"/>
      <c r="E75" s="1432"/>
      <c r="F75" s="1432"/>
      <c r="G75" s="1432"/>
      <c r="I75" s="1432"/>
      <c r="J75" s="1458">
        <f t="shared" si="0"/>
        <v>0</v>
      </c>
      <c r="K75" s="1419"/>
      <c r="L75" s="1419"/>
      <c r="N75" s="1420">
        <f t="shared" si="2"/>
        <v>0</v>
      </c>
      <c r="O75" s="1432"/>
      <c r="P75" s="1455"/>
      <c r="Q75" s="1423"/>
      <c r="S75" s="1424"/>
      <c r="T75" s="1424"/>
      <c r="V75" s="1423"/>
      <c r="W75" s="1423"/>
      <c r="X75" s="285"/>
      <c r="Y75" s="285"/>
      <c r="Z75" s="285"/>
      <c r="AA75" s="285"/>
      <c r="AB75" s="285"/>
      <c r="AC75" s="980"/>
      <c r="AD75" s="285"/>
      <c r="AE75" s="285"/>
      <c r="AF75" s="285"/>
      <c r="AG75" s="285"/>
      <c r="AH75" s="285"/>
      <c r="AI75" s="285"/>
      <c r="AJ75" s="285"/>
      <c r="AK75" s="285"/>
      <c r="AL75" s="285"/>
      <c r="AM75" s="285"/>
      <c r="AN75" s="285"/>
      <c r="AO75" s="285"/>
      <c r="AP75" s="285"/>
      <c r="AQ75" s="285"/>
      <c r="AR75" s="285"/>
      <c r="AS75" s="285"/>
      <c r="AT75" s="285"/>
      <c r="AU75" s="285"/>
      <c r="AV75" s="285"/>
      <c r="AW75" s="285"/>
      <c r="AX75" s="285"/>
      <c r="AY75" s="285"/>
      <c r="AZ75" s="285"/>
      <c r="BA75" s="285"/>
      <c r="BB75" s="285"/>
      <c r="BC75" s="285"/>
      <c r="BD75" s="285"/>
      <c r="BE75" s="285"/>
      <c r="BF75" s="285"/>
      <c r="BG75" s="285"/>
      <c r="BH75" s="285"/>
      <c r="BI75" s="285"/>
      <c r="BJ75" s="285"/>
      <c r="BK75" s="285"/>
      <c r="BL75" s="285"/>
      <c r="BM75" s="285"/>
      <c r="BN75" s="285"/>
      <c r="BO75" s="285"/>
      <c r="BP75" s="285"/>
    </row>
    <row r="76" spans="1:68" x14ac:dyDescent="0.2">
      <c r="A76" s="1216" t="s">
        <v>501</v>
      </c>
      <c r="B76" s="1456" t="str">
        <f>КАФЕДРА!$D76</f>
        <v>ОиДПО</v>
      </c>
      <c r="C76" s="1451">
        <f>$E76</f>
        <v>0</v>
      </c>
      <c r="D76" s="1426"/>
      <c r="E76" s="1457"/>
      <c r="F76" s="1457"/>
      <c r="G76" s="1457"/>
      <c r="I76" s="1457"/>
      <c r="J76" s="1458">
        <f t="shared" si="0"/>
        <v>0</v>
      </c>
      <c r="K76" s="1441"/>
      <c r="L76" s="1441"/>
      <c r="N76" s="1169">
        <f t="shared" si="2"/>
        <v>0</v>
      </c>
      <c r="O76" s="1426"/>
      <c r="P76" s="1459"/>
      <c r="Q76" s="1429"/>
      <c r="S76" s="1430"/>
      <c r="T76" s="1430"/>
      <c r="V76" s="1429"/>
      <c r="W76" s="1429"/>
    </row>
    <row r="77" spans="1:68" ht="15" thickBot="1" x14ac:dyDescent="0.25">
      <c r="A77" s="1199" t="s">
        <v>502</v>
      </c>
      <c r="B77" s="1168" t="str">
        <f>КАФЕДРА!$D77</f>
        <v>ОиДПО</v>
      </c>
      <c r="C77" s="1460">
        <f>$E77</f>
        <v>0</v>
      </c>
      <c r="D77" s="1461"/>
      <c r="E77" s="1461"/>
      <c r="F77" s="1461"/>
      <c r="G77" s="1461"/>
      <c r="I77" s="1461"/>
      <c r="J77" s="1462">
        <f t="shared" si="0"/>
        <v>0</v>
      </c>
      <c r="K77" s="1463"/>
      <c r="L77" s="1463"/>
      <c r="N77" s="1462">
        <f t="shared" si="2"/>
        <v>0</v>
      </c>
      <c r="O77" s="1461"/>
      <c r="P77" s="1464"/>
      <c r="Q77" s="1465"/>
      <c r="S77" s="1466"/>
      <c r="T77" s="1466"/>
      <c r="V77" s="1465"/>
      <c r="W77" s="1465"/>
    </row>
    <row r="78" spans="1:68" s="371" customFormat="1" x14ac:dyDescent="0.2">
      <c r="H78" s="1166"/>
      <c r="M78" s="1166"/>
      <c r="R78" s="1166"/>
      <c r="U78" s="1166"/>
    </row>
    <row r="79" spans="1:68" x14ac:dyDescent="0.2">
      <c r="A79" s="767"/>
      <c r="B79" s="767"/>
      <c r="C79" s="767"/>
      <c r="D79" s="767"/>
      <c r="E79" s="767"/>
      <c r="F79" s="767"/>
      <c r="G79" s="767"/>
      <c r="I79" s="767"/>
      <c r="J79" s="767"/>
      <c r="K79" s="767"/>
      <c r="L79" s="767"/>
      <c r="N79" s="767"/>
      <c r="O79" s="767"/>
      <c r="P79" s="767"/>
      <c r="Q79" s="767"/>
      <c r="S79" s="767"/>
      <c r="T79" s="767"/>
      <c r="V79" s="767"/>
      <c r="W79" s="767"/>
    </row>
    <row r="80" spans="1:68" x14ac:dyDescent="0.2">
      <c r="A80" s="767"/>
      <c r="B80" s="767"/>
      <c r="C80" s="767"/>
      <c r="D80" s="767"/>
      <c r="E80" s="767"/>
      <c r="F80" s="767"/>
      <c r="G80" s="767"/>
      <c r="I80" s="767"/>
      <c r="J80" s="767"/>
      <c r="K80" s="767"/>
      <c r="L80" s="767"/>
      <c r="N80" s="767"/>
      <c r="O80" s="767"/>
      <c r="P80" s="767"/>
      <c r="Q80" s="767"/>
      <c r="S80" s="767"/>
      <c r="T80" s="767"/>
      <c r="V80" s="767"/>
      <c r="W80" s="767"/>
    </row>
    <row r="81" spans="1:23" x14ac:dyDescent="0.2">
      <c r="A81" s="767"/>
      <c r="B81" s="767"/>
      <c r="C81" s="767"/>
      <c r="D81" s="767"/>
      <c r="E81" s="767"/>
      <c r="F81" s="767"/>
      <c r="G81" s="767"/>
      <c r="I81" s="767"/>
      <c r="J81" s="767"/>
      <c r="K81" s="767"/>
      <c r="L81" s="767"/>
      <c r="N81" s="767"/>
      <c r="O81" s="767"/>
      <c r="P81" s="767"/>
      <c r="Q81" s="767"/>
      <c r="S81" s="767"/>
      <c r="T81" s="767"/>
      <c r="V81" s="767"/>
      <c r="W81" s="767"/>
    </row>
    <row r="82" spans="1:23" hidden="1" x14ac:dyDescent="0.2">
      <c r="A82" s="139" t="str">
        <f>ИНСТИТУТ!A20</f>
        <v>Институт клинической медицины</v>
      </c>
      <c r="B82" s="139" t="str">
        <f>ИНСТИТУТ!D20</f>
        <v>КМЕДИЦИНЫ</v>
      </c>
      <c r="C82" s="1467">
        <f t="array" ref="C82">SUM(IF($B$20:$B$77=$B82,C$20:C$77,0))</f>
        <v>0</v>
      </c>
      <c r="D82" s="125">
        <f t="array" ref="D82">SUM(IF($B$20:$B$77=$B82,D$20:D$77,0))</f>
        <v>0</v>
      </c>
      <c r="E82" s="125">
        <f t="array" ref="E82">SUM(IF($B$20:$B$77=$B82,E$20:E$77,0))</f>
        <v>0</v>
      </c>
      <c r="F82" s="125">
        <f t="array" ref="F82">SUM(IF($B$20:$B$77=$B82,F$20:F$77,0))</f>
        <v>0</v>
      </c>
      <c r="G82" s="125">
        <f t="array" ref="G82">SUM(IF($B$20:$B$77=$B82,G$20:G$77,0))</f>
        <v>0</v>
      </c>
      <c r="H82" s="1468"/>
      <c r="I82" s="125">
        <f t="array" ref="I82">SUM(IF($B$20:$B$77=$B82,I$20:I$77,0))</f>
        <v>0</v>
      </c>
      <c r="J82" s="125">
        <f t="array" ref="J82">SUM(IF($B$20:$B$77=$B82,J$20:J$77,0))</f>
        <v>0</v>
      </c>
      <c r="K82" s="125">
        <f t="array" ref="K82">SUM(IF($B$20:$B$77=$B82,K$20:K$77,0))</f>
        <v>0</v>
      </c>
      <c r="L82" s="125">
        <f t="array" ref="L82">SUM(IF($B$20:$B$77=$B82,L$20:L$77,0))</f>
        <v>0</v>
      </c>
      <c r="M82" s="1468"/>
      <c r="N82" s="125">
        <f t="array" ref="N82">SUM(IF($B$20:$B$77=$B82,N$20:N$77,0))</f>
        <v>0</v>
      </c>
      <c r="O82" s="125">
        <f t="array" ref="O82">SUM(IF($B$20:$B$77=$B82,O$20:O$77,0))</f>
        <v>0</v>
      </c>
      <c r="P82" s="125">
        <f t="array" ref="P82">SUM(IF($B$20:$B$77=$B82,P$20:P$77,0))</f>
        <v>0</v>
      </c>
      <c r="Q82" s="125">
        <f t="array" ref="Q82">SUM(IF($B$20:$B$77=$B82,Q$20:Q$77,0))</f>
        <v>0</v>
      </c>
      <c r="R82" s="1468"/>
      <c r="S82" s="125">
        <f t="array" ref="S82">SUM(IF($B$20:$B$77=$B82,S$20:S$77,0))</f>
        <v>0</v>
      </c>
      <c r="T82" s="125">
        <f t="array" ref="T82">SUM(IF($B$20:$B$77=$B82,T$20:T$77,0))</f>
        <v>0</v>
      </c>
      <c r="U82" s="1468"/>
      <c r="V82" s="125">
        <f t="array" ref="V82">SUM(IF($B$20:$B$77=$B82,V$20:V$77,0))</f>
        <v>0</v>
      </c>
      <c r="W82" s="125">
        <f t="array" ref="W82">SUM(IF($B$20:$B$77=$B82,W$20:W$77,0))</f>
        <v>0</v>
      </c>
    </row>
    <row r="83" spans="1:23" hidden="1" x14ac:dyDescent="0.2">
      <c r="A83" s="139" t="str">
        <f>ИНСТИТУТ!A21</f>
        <v>Институт педиатрии</v>
      </c>
      <c r="B83" s="139" t="str">
        <f>ИНСТИТУТ!D21</f>
        <v>ПЕДИАТРИИ</v>
      </c>
      <c r="C83" s="1467">
        <f t="array" ref="C83">SUM(IF($B$20:$B$77=$B83,C$20:C$77,0))</f>
        <v>0</v>
      </c>
      <c r="D83" s="125">
        <f t="array" ref="D83">SUM(IF($B$20:$B$77=$B83,D$20:D$77,0))</f>
        <v>0</v>
      </c>
      <c r="E83" s="125">
        <f t="array" ref="E83">SUM(IF($B$20:$B$77=$B83,E$20:E$77,0))</f>
        <v>0</v>
      </c>
      <c r="F83" s="125">
        <f t="array" ref="F83">SUM(IF($B$20:$B$77=$B83,F$20:F$77,0))</f>
        <v>0</v>
      </c>
      <c r="G83" s="125">
        <f t="array" ref="G83">SUM(IF($B$20:$B$77=$B83,G$20:G$77,0))</f>
        <v>0</v>
      </c>
      <c r="H83" s="1468"/>
      <c r="I83" s="125">
        <f t="array" ref="I83">SUM(IF($B$20:$B$77=$B83,I$20:I$77,0))</f>
        <v>0</v>
      </c>
      <c r="J83" s="125">
        <f t="array" ref="J83">SUM(IF($B$20:$B$77=$B83,J$20:J$77,0))</f>
        <v>0</v>
      </c>
      <c r="K83" s="125">
        <f t="array" ref="K83">SUM(IF($B$20:$B$77=$B83,K$20:K$77,0))</f>
        <v>0</v>
      </c>
      <c r="L83" s="125">
        <f t="array" ref="L83">SUM(IF($B$20:$B$77=$B83,L$20:L$77,0))</f>
        <v>0</v>
      </c>
      <c r="M83" s="1468"/>
      <c r="N83" s="125">
        <f t="array" ref="N83">SUM(IF($B$20:$B$77=$B83,N$20:N$77,0))</f>
        <v>0</v>
      </c>
      <c r="O83" s="125">
        <f t="array" ref="O83">SUM(IF($B$20:$B$77=$B83,O$20:O$77,0))</f>
        <v>0</v>
      </c>
      <c r="P83" s="125">
        <f t="array" ref="P83">SUM(IF($B$20:$B$77=$B83,P$20:P$77,0))</f>
        <v>0</v>
      </c>
      <c r="Q83" s="125">
        <f t="array" ref="Q83">SUM(IF($B$20:$B$77=$B83,Q$20:Q$77,0))</f>
        <v>0</v>
      </c>
      <c r="R83" s="1468"/>
      <c r="S83" s="125">
        <f t="array" ref="S83">SUM(IF($B$20:$B$77=$B83,S$20:S$77,0))</f>
        <v>0</v>
      </c>
      <c r="T83" s="125">
        <f t="array" ref="T83">SUM(IF($B$20:$B$77=$B83,T$20:T$77,0))</f>
        <v>0</v>
      </c>
      <c r="U83" s="1468"/>
      <c r="V83" s="125">
        <f t="array" ref="V83">SUM(IF($B$20:$B$77=$B83,V$20:V$77,0))</f>
        <v>0</v>
      </c>
      <c r="W83" s="125">
        <f t="array" ref="W83">SUM(IF($B$20:$B$77=$B83,W$20:W$77,0))</f>
        <v>0</v>
      </c>
    </row>
    <row r="84" spans="1:23" hidden="1" x14ac:dyDescent="0.2">
      <c r="A84" s="139" t="str">
        <f>ИНСТИТУТ!A22</f>
        <v>Институт стоматологии</v>
      </c>
      <c r="B84" s="139" t="str">
        <f>ИНСТИТУТ!D22</f>
        <v>СТОМ</v>
      </c>
      <c r="C84" s="1467">
        <f t="array" ref="C84">SUM(IF($B$20:$B$77=$B84,C$20:C$77,0))</f>
        <v>0</v>
      </c>
      <c r="D84" s="125">
        <f t="array" ref="D84">SUM(IF($B$20:$B$77=$B84,D$20:D$77,0))</f>
        <v>0</v>
      </c>
      <c r="E84" s="125">
        <f t="array" ref="E84">SUM(IF($B$20:$B$77=$B84,E$20:E$77,0))</f>
        <v>0</v>
      </c>
      <c r="F84" s="125">
        <f t="array" ref="F84">SUM(IF($B$20:$B$77=$B84,F$20:F$77,0))</f>
        <v>0</v>
      </c>
      <c r="G84" s="125">
        <f t="array" ref="G84">SUM(IF($B$20:$B$77=$B84,G$20:G$77,0))</f>
        <v>0</v>
      </c>
      <c r="H84" s="1468"/>
      <c r="I84" s="125">
        <f t="array" ref="I84">SUM(IF($B$20:$B$77=$B84,I$20:I$77,0))</f>
        <v>0</v>
      </c>
      <c r="J84" s="125">
        <f t="array" ref="J84">SUM(IF($B$20:$B$77=$B84,J$20:J$77,0))</f>
        <v>0</v>
      </c>
      <c r="K84" s="125">
        <f t="array" ref="K84">SUM(IF($B$20:$B$77=$B84,K$20:K$77,0))</f>
        <v>0</v>
      </c>
      <c r="L84" s="125">
        <f t="array" ref="L84">SUM(IF($B$20:$B$77=$B84,L$20:L$77,0))</f>
        <v>0</v>
      </c>
      <c r="M84" s="1468"/>
      <c r="N84" s="125">
        <f t="array" ref="N84">SUM(IF($B$20:$B$77=$B84,N$20:N$77,0))</f>
        <v>0</v>
      </c>
      <c r="O84" s="125">
        <f t="array" ref="O84">SUM(IF($B$20:$B$77=$B84,O$20:O$77,0))</f>
        <v>0</v>
      </c>
      <c r="P84" s="125">
        <f t="array" ref="P84">SUM(IF($B$20:$B$77=$B84,P$20:P$77,0))</f>
        <v>0</v>
      </c>
      <c r="Q84" s="125">
        <f t="array" ref="Q84">SUM(IF($B$20:$B$77=$B84,Q$20:Q$77,0))</f>
        <v>0</v>
      </c>
      <c r="R84" s="1468"/>
      <c r="S84" s="125">
        <f t="array" ref="S84">SUM(IF($B$20:$B$77=$B84,S$20:S$77,0))</f>
        <v>0</v>
      </c>
      <c r="T84" s="125">
        <f t="array" ref="T84">SUM(IF($B$20:$B$77=$B84,T$20:T$77,0))</f>
        <v>0</v>
      </c>
      <c r="U84" s="1468"/>
      <c r="V84" s="125">
        <f t="array" ref="V84">SUM(IF($B$20:$B$77=$B84,V$20:V$77,0))</f>
        <v>0</v>
      </c>
      <c r="W84" s="125">
        <f t="array" ref="W84">SUM(IF($B$20:$B$77=$B84,W$20:W$77,0))</f>
        <v>0</v>
      </c>
    </row>
    <row r="85" spans="1:23" hidden="1" x14ac:dyDescent="0.2">
      <c r="A85" s="139" t="str">
        <f>ИНСТИТУТ!A23</f>
        <v>Институт общественного здоровья и профилактической медицины</v>
      </c>
      <c r="B85" s="139" t="str">
        <f>ИНСТИТУТ!D23</f>
        <v>ОЗДОРОВЬЯ</v>
      </c>
      <c r="C85" s="1467">
        <f t="array" ref="C85">SUM(IF($B$20:$B$77=$B85,C$20:C$77,0))</f>
        <v>0</v>
      </c>
      <c r="D85" s="125">
        <f t="array" ref="D85">SUM(IF($B$20:$B$77=$B85,D$20:D$77,0))</f>
        <v>0</v>
      </c>
      <c r="E85" s="125">
        <f t="array" ref="E85">SUM(IF($B$20:$B$77=$B85,E$20:E$77,0))</f>
        <v>0</v>
      </c>
      <c r="F85" s="125">
        <f t="array" ref="F85">SUM(IF($B$20:$B$77=$B85,F$20:F$77,0))</f>
        <v>0</v>
      </c>
      <c r="G85" s="125">
        <f t="array" ref="G85">SUM(IF($B$20:$B$77=$B85,G$20:G$77,0))</f>
        <v>0</v>
      </c>
      <c r="H85" s="1468"/>
      <c r="I85" s="125">
        <f t="array" ref="I85">SUM(IF($B$20:$B$77=$B85,I$20:I$77,0))</f>
        <v>0</v>
      </c>
      <c r="J85" s="125">
        <f t="array" ref="J85">SUM(IF($B$20:$B$77=$B85,J$20:J$77,0))</f>
        <v>0</v>
      </c>
      <c r="K85" s="125">
        <f t="array" ref="K85">SUM(IF($B$20:$B$77=$B85,K$20:K$77,0))</f>
        <v>0</v>
      </c>
      <c r="L85" s="125">
        <f t="array" ref="L85">SUM(IF($B$20:$B$77=$B85,L$20:L$77,0))</f>
        <v>0</v>
      </c>
      <c r="M85" s="1468"/>
      <c r="N85" s="125">
        <f t="array" ref="N85">SUM(IF($B$20:$B$77=$B85,N$20:N$77,0))</f>
        <v>0</v>
      </c>
      <c r="O85" s="125">
        <f t="array" ref="O85">SUM(IF($B$20:$B$77=$B85,O$20:O$77,0))</f>
        <v>0</v>
      </c>
      <c r="P85" s="125">
        <f t="array" ref="P85">SUM(IF($B$20:$B$77=$B85,P$20:P$77,0))</f>
        <v>0</v>
      </c>
      <c r="Q85" s="125">
        <f t="array" ref="Q85">SUM(IF($B$20:$B$77=$B85,Q$20:Q$77,0))</f>
        <v>0</v>
      </c>
      <c r="R85" s="1468"/>
      <c r="S85" s="125">
        <f t="array" ref="S85">SUM(IF($B$20:$B$77=$B85,S$20:S$77,0))</f>
        <v>0</v>
      </c>
      <c r="T85" s="125">
        <f t="array" ref="T85">SUM(IF($B$20:$B$77=$B85,T$20:T$77,0))</f>
        <v>0</v>
      </c>
      <c r="U85" s="1468"/>
      <c r="V85" s="125">
        <f t="array" ref="V85">SUM(IF($B$20:$B$77=$B85,V$20:V$77,0))</f>
        <v>0</v>
      </c>
      <c r="W85" s="125">
        <f t="array" ref="W85">SUM(IF($B$20:$B$77=$B85,W$20:W$77,0))</f>
        <v>0</v>
      </c>
    </row>
    <row r="86" spans="1:23" hidden="1" x14ac:dyDescent="0.2">
      <c r="A86" s="139" t="str">
        <f>ИНСТИТУТ!A24</f>
        <v>Институт фармации</v>
      </c>
      <c r="B86" s="139" t="str">
        <f>ИНСТИТУТ!D24</f>
        <v>ФАРМ</v>
      </c>
      <c r="C86" s="1467">
        <f t="array" ref="C86">SUM(IF($B$20:$B$77=$B86,C$20:C$77,0))</f>
        <v>0</v>
      </c>
      <c r="D86" s="125">
        <f t="array" ref="D86">SUM(IF($B$20:$B$77=$B86,D$20:D$77,0))</f>
        <v>0</v>
      </c>
      <c r="E86" s="125">
        <f t="array" ref="E86">SUM(IF($B$20:$B$77=$B86,E$20:E$77,0))</f>
        <v>0</v>
      </c>
      <c r="F86" s="125">
        <f t="array" ref="F86">SUM(IF($B$20:$B$77=$B86,F$20:F$77,0))</f>
        <v>0</v>
      </c>
      <c r="G86" s="125">
        <f t="array" ref="G86">SUM(IF($B$20:$B$77=$B86,G$20:G$77,0))</f>
        <v>0</v>
      </c>
      <c r="H86" s="1468"/>
      <c r="I86" s="125">
        <f t="array" ref="I86">SUM(IF($B$20:$B$77=$B86,I$20:I$77,0))</f>
        <v>0</v>
      </c>
      <c r="J86" s="125">
        <f t="array" ref="J86">SUM(IF($B$20:$B$77=$B86,J$20:J$77,0))</f>
        <v>0</v>
      </c>
      <c r="K86" s="125">
        <f t="array" ref="K86">SUM(IF($B$20:$B$77=$B86,K$20:K$77,0))</f>
        <v>0</v>
      </c>
      <c r="L86" s="125">
        <f t="array" ref="L86">SUM(IF($B$20:$B$77=$B86,L$20:L$77,0))</f>
        <v>0</v>
      </c>
      <c r="M86" s="1468"/>
      <c r="N86" s="125">
        <f t="array" ref="N86">SUM(IF($B$20:$B$77=$B86,N$20:N$77,0))</f>
        <v>0</v>
      </c>
      <c r="O86" s="125">
        <f t="array" ref="O86">SUM(IF($B$20:$B$77=$B86,O$20:O$77,0))</f>
        <v>0</v>
      </c>
      <c r="P86" s="125">
        <f t="array" ref="P86">SUM(IF($B$20:$B$77=$B86,P$20:P$77,0))</f>
        <v>0</v>
      </c>
      <c r="Q86" s="125">
        <f t="array" ref="Q86">SUM(IF($B$20:$B$77=$B86,Q$20:Q$77,0))</f>
        <v>0</v>
      </c>
      <c r="R86" s="1468"/>
      <c r="S86" s="125">
        <f t="array" ref="S86">SUM(IF($B$20:$B$77=$B86,S$20:S$77,0))</f>
        <v>0</v>
      </c>
      <c r="T86" s="125">
        <f t="array" ref="T86">SUM(IF($B$20:$B$77=$B86,T$20:T$77,0))</f>
        <v>0</v>
      </c>
      <c r="U86" s="1468"/>
      <c r="V86" s="125">
        <f t="array" ref="V86">SUM(IF($B$20:$B$77=$B86,V$20:V$77,0))</f>
        <v>0</v>
      </c>
      <c r="W86" s="125">
        <f t="array" ref="W86">SUM(IF($B$20:$B$77=$B86,W$20:W$77,0))</f>
        <v>0</v>
      </c>
    </row>
    <row r="87" spans="1:23" hidden="1" x14ac:dyDescent="0.2">
      <c r="A87" s="139" t="str">
        <f>ИНСТИТУТ!A25</f>
        <v>Институт клинической психологии</v>
      </c>
      <c r="B87" s="139" t="str">
        <f>ИНСТИТУТ!D25</f>
        <v>КПСИХОЛОГИИ</v>
      </c>
      <c r="C87" s="1467">
        <f t="array" ref="C87">SUM(IF($B$20:$B$77=$B87,C$20:C$77,0))</f>
        <v>0</v>
      </c>
      <c r="D87" s="125">
        <f t="array" ref="D87">SUM(IF($B$20:$B$77=$B87,D$20:D$77,0))</f>
        <v>0</v>
      </c>
      <c r="E87" s="125">
        <f t="array" ref="E87">SUM(IF($B$20:$B$77=$B87,E$20:E$77,0))</f>
        <v>0</v>
      </c>
      <c r="F87" s="125">
        <f t="array" ref="F87">SUM(IF($B$20:$B$77=$B87,F$20:F$77,0))</f>
        <v>0</v>
      </c>
      <c r="G87" s="125">
        <f t="array" ref="G87">SUM(IF($B$20:$B$77=$B87,G$20:G$77,0))</f>
        <v>0</v>
      </c>
      <c r="H87" s="1468"/>
      <c r="I87" s="125">
        <f t="array" ref="I87">SUM(IF($B$20:$B$77=$B87,I$20:I$77,0))</f>
        <v>0</v>
      </c>
      <c r="J87" s="125">
        <f t="array" ref="J87">SUM(IF($B$20:$B$77=$B87,J$20:J$77,0))</f>
        <v>0</v>
      </c>
      <c r="K87" s="125">
        <f t="array" ref="K87">SUM(IF($B$20:$B$77=$B87,K$20:K$77,0))</f>
        <v>0</v>
      </c>
      <c r="L87" s="125">
        <f t="array" ref="L87">SUM(IF($B$20:$B$77=$B87,L$20:L$77,0))</f>
        <v>0</v>
      </c>
      <c r="M87" s="1468"/>
      <c r="N87" s="125">
        <f t="array" ref="N87">SUM(IF($B$20:$B$77=$B87,N$20:N$77,0))</f>
        <v>0</v>
      </c>
      <c r="O87" s="125">
        <f t="array" ref="O87">SUM(IF($B$20:$B$77=$B87,O$20:O$77,0))</f>
        <v>0</v>
      </c>
      <c r="P87" s="125">
        <f t="array" ref="P87">SUM(IF($B$20:$B$77=$B87,P$20:P$77,0))</f>
        <v>0</v>
      </c>
      <c r="Q87" s="125">
        <f t="array" ref="Q87">SUM(IF($B$20:$B$77=$B87,Q$20:Q$77,0))</f>
        <v>0</v>
      </c>
      <c r="R87" s="1468"/>
      <c r="S87" s="125">
        <f t="array" ref="S87">SUM(IF($B$20:$B$77=$B87,S$20:S$77,0))</f>
        <v>0</v>
      </c>
      <c r="T87" s="125">
        <f t="array" ref="T87">SUM(IF($B$20:$B$77=$B87,T$20:T$77,0))</f>
        <v>0</v>
      </c>
      <c r="U87" s="1468"/>
      <c r="V87" s="125">
        <f t="array" ref="V87">SUM(IF($B$20:$B$77=$B87,V$20:V$77,0))</f>
        <v>0</v>
      </c>
      <c r="W87" s="125">
        <f t="array" ref="W87">SUM(IF($B$20:$B$77=$B87,W$20:W$77,0))</f>
        <v>0</v>
      </c>
    </row>
    <row r="88" spans="1:23" hidden="1" x14ac:dyDescent="0.2">
      <c r="A88" s="139" t="str">
        <f>ИНСТИТУТ!A26</f>
        <v>Институт среднего профессионального образования</v>
      </c>
      <c r="B88" s="139" t="str">
        <f>ИНСТИТУТ!D26</f>
        <v>СПО</v>
      </c>
      <c r="C88" s="1467">
        <f t="array" ref="C88">SUM(IF($B$20:$B$77=$B88,C$20:C$77,0))</f>
        <v>0</v>
      </c>
      <c r="D88" s="125">
        <f t="array" ref="D88">SUM(IF($B$20:$B$77=$B88,D$20:D$77,0))</f>
        <v>0</v>
      </c>
      <c r="E88" s="125">
        <f t="array" ref="E88">SUM(IF($B$20:$B$77=$B88,E$20:E$77,0))</f>
        <v>0</v>
      </c>
      <c r="F88" s="125">
        <f t="array" ref="F88">SUM(IF($B$20:$B$77=$B88,F$20:F$77,0))</f>
        <v>0</v>
      </c>
      <c r="G88" s="125">
        <f t="array" ref="G88">SUM(IF($B$20:$B$77=$B88,G$20:G$77,0))</f>
        <v>0</v>
      </c>
      <c r="H88" s="1468"/>
      <c r="I88" s="125">
        <f t="array" ref="I88">SUM(IF($B$20:$B$77=$B88,I$20:I$77,0))</f>
        <v>0</v>
      </c>
      <c r="J88" s="125">
        <f t="array" ref="J88">SUM(IF($B$20:$B$77=$B88,J$20:J$77,0))</f>
        <v>0</v>
      </c>
      <c r="K88" s="125">
        <f t="array" ref="K88">SUM(IF($B$20:$B$77=$B88,K$20:K$77,0))</f>
        <v>0</v>
      </c>
      <c r="L88" s="125">
        <f t="array" ref="L88">SUM(IF($B$20:$B$77=$B88,L$20:L$77,0))</f>
        <v>0</v>
      </c>
      <c r="M88" s="1468"/>
      <c r="N88" s="125">
        <f t="array" ref="N88">SUM(IF($B$20:$B$77=$B88,N$20:N$77,0))</f>
        <v>0</v>
      </c>
      <c r="O88" s="125">
        <f t="array" ref="O88">SUM(IF($B$20:$B$77=$B88,O$20:O$77,0))</f>
        <v>0</v>
      </c>
      <c r="P88" s="125">
        <f t="array" ref="P88">SUM(IF($B$20:$B$77=$B88,P$20:P$77,0))</f>
        <v>0</v>
      </c>
      <c r="Q88" s="125">
        <f t="array" ref="Q88">SUM(IF($B$20:$B$77=$B88,Q$20:Q$77,0))</f>
        <v>0</v>
      </c>
      <c r="R88" s="1468"/>
      <c r="S88" s="125">
        <f t="array" ref="S88">SUM(IF($B$20:$B$77=$B88,S$20:S$77,0))</f>
        <v>0</v>
      </c>
      <c r="T88" s="125">
        <f t="array" ref="T88">SUM(IF($B$20:$B$77=$B88,T$20:T$77,0))</f>
        <v>0</v>
      </c>
      <c r="U88" s="1468"/>
      <c r="V88" s="125">
        <f t="array" ref="V88">SUM(IF($B$20:$B$77=$B88,V$20:V$77,0))</f>
        <v>0</v>
      </c>
      <c r="W88" s="125">
        <f t="array" ref="W88">SUM(IF($B$20:$B$77=$B88,W$20:W$77,0))</f>
        <v>0</v>
      </c>
    </row>
    <row r="89" spans="1:23" hidden="1" x14ac:dyDescent="0.2">
      <c r="A89" s="139" t="str">
        <f>ИНСТИТУТ!A27</f>
        <v>Факультет иностранных студентов</v>
      </c>
      <c r="B89" s="139" t="str">
        <f>ИНСТИТУТ!D27</f>
        <v>ФИС</v>
      </c>
      <c r="C89" s="1467">
        <f t="array" ref="C89">SUM(IF($B$20:$B$77=$B89,C$20:C$77,0))</f>
        <v>0</v>
      </c>
      <c r="D89" s="125">
        <f t="array" ref="D89">SUM(IF($B$20:$B$77=$B89,D$20:D$77,0))</f>
        <v>0</v>
      </c>
      <c r="E89" s="125">
        <f t="array" ref="E89">SUM(IF($B$20:$B$77=$B89,E$20:E$77,0))</f>
        <v>0</v>
      </c>
      <c r="F89" s="125">
        <f t="array" ref="F89">SUM(IF($B$20:$B$77=$B89,F$20:F$77,0))</f>
        <v>0</v>
      </c>
      <c r="G89" s="125">
        <f t="array" ref="G89">SUM(IF($B$20:$B$77=$B89,G$20:G$77,0))</f>
        <v>0</v>
      </c>
      <c r="H89" s="1468"/>
      <c r="I89" s="125">
        <f t="array" ref="I89">SUM(IF($B$20:$B$77=$B89,I$20:I$77,0))</f>
        <v>0</v>
      </c>
      <c r="J89" s="125">
        <f t="array" ref="J89">SUM(IF($B$20:$B$77=$B89,J$20:J$77,0))</f>
        <v>0</v>
      </c>
      <c r="K89" s="125">
        <f t="array" ref="K89">SUM(IF($B$20:$B$77=$B89,K$20:K$77,0))</f>
        <v>0</v>
      </c>
      <c r="L89" s="125">
        <f t="array" ref="L89">SUM(IF($B$20:$B$77=$B89,L$20:L$77,0))</f>
        <v>0</v>
      </c>
      <c r="M89" s="1468"/>
      <c r="N89" s="125">
        <f t="array" ref="N89">SUM(IF($B$20:$B$77=$B89,N$20:N$77,0))</f>
        <v>0</v>
      </c>
      <c r="O89" s="125">
        <f t="array" ref="O89">SUM(IF($B$20:$B$77=$B89,O$20:O$77,0))</f>
        <v>0</v>
      </c>
      <c r="P89" s="125">
        <f t="array" ref="P89">SUM(IF($B$20:$B$77=$B89,P$20:P$77,0))</f>
        <v>0</v>
      </c>
      <c r="Q89" s="125">
        <f t="array" ref="Q89">SUM(IF($B$20:$B$77=$B89,Q$20:Q$77,0))</f>
        <v>0</v>
      </c>
      <c r="R89" s="1468"/>
      <c r="S89" s="125">
        <f t="array" ref="S89">SUM(IF($B$20:$B$77=$B89,S$20:S$77,0))</f>
        <v>0</v>
      </c>
      <c r="T89" s="125">
        <f t="array" ref="T89">SUM(IF($B$20:$B$77=$B89,T$20:T$77,0))</f>
        <v>0</v>
      </c>
      <c r="U89" s="1468"/>
      <c r="V89" s="125">
        <f t="array" ref="V89">SUM(IF($B$20:$B$77=$B89,V$20:V$77,0))</f>
        <v>0</v>
      </c>
      <c r="W89" s="125">
        <f t="array" ref="W89">SUM(IF($B$20:$B$77=$B89,W$20:W$77,0))</f>
        <v>0</v>
      </c>
    </row>
    <row r="90" spans="1:23" hidden="1" x14ac:dyDescent="0.2">
      <c r="A90" s="139" t="s">
        <v>511</v>
      </c>
      <c r="B90" s="139" t="s">
        <v>510</v>
      </c>
      <c r="C90" s="1467">
        <f t="array" ref="C90">SUM(IF($B$20:$B$77=$B90,C$20:C$77,0))</f>
        <v>0</v>
      </c>
      <c r="D90" s="125">
        <f t="array" ref="D90">SUM(IF($B$20:$B$77=$B90,D$20:D$77,0))</f>
        <v>0</v>
      </c>
      <c r="E90" s="125">
        <f t="array" ref="E90">SUM(IF($B$20:$B$77=$B90,E$20:E$77,0))</f>
        <v>0</v>
      </c>
      <c r="F90" s="125">
        <f t="array" ref="F90">SUM(IF($B$20:$B$77=$B90,F$20:F$77,0))</f>
        <v>0</v>
      </c>
      <c r="G90" s="125">
        <f t="array" ref="G90">SUM(IF($B$20:$B$77=$B90,G$20:G$77,0))</f>
        <v>0</v>
      </c>
      <c r="H90" s="1468"/>
      <c r="I90" s="125">
        <f t="array" ref="I90">SUM(IF($B$20:$B$77=$B90,I$20:I$77,0))</f>
        <v>0</v>
      </c>
      <c r="J90" s="125">
        <f t="array" ref="J90">SUM(IF($B$20:$B$77=$B90,J$20:J$77,0))</f>
        <v>0</v>
      </c>
      <c r="K90" s="125">
        <f t="array" ref="K90">SUM(IF($B$20:$B$77=$B90,K$20:K$77,0))</f>
        <v>0</v>
      </c>
      <c r="L90" s="125">
        <f t="array" ref="L90">SUM(IF($B$20:$B$77=$B90,L$20:L$77,0))</f>
        <v>0</v>
      </c>
      <c r="M90" s="1468"/>
      <c r="N90" s="125">
        <f t="array" ref="N90">SUM(IF($B$20:$B$77=$B90,N$20:N$77,0))</f>
        <v>0</v>
      </c>
      <c r="O90" s="125">
        <f t="array" ref="O90">SUM(IF($B$20:$B$77=$B90,O$20:O$77,0))</f>
        <v>0</v>
      </c>
      <c r="P90" s="125">
        <f t="array" ref="P90">SUM(IF($B$20:$B$77=$B90,P$20:P$77,0))</f>
        <v>0</v>
      </c>
      <c r="Q90" s="125">
        <f t="array" ref="Q90">SUM(IF($B$20:$B$77=$B90,Q$20:Q$77,0))</f>
        <v>0</v>
      </c>
      <c r="R90" s="1468"/>
      <c r="S90" s="125">
        <f t="array" ref="S90">SUM(IF($B$20:$B$77=$B90,S$20:S$77,0))</f>
        <v>0</v>
      </c>
      <c r="T90" s="125">
        <f t="array" ref="T90">SUM(IF($B$20:$B$77=$B90,T$20:T$77,0))</f>
        <v>0</v>
      </c>
      <c r="U90" s="1468"/>
      <c r="V90" s="125">
        <f t="array" ref="V90">SUM(IF($B$20:$B$77=$B90,V$20:V$77,0))</f>
        <v>0</v>
      </c>
      <c r="W90" s="125">
        <f t="array" ref="W90">SUM(IF($B$20:$B$77=$B90,W$20:W$77,0))</f>
        <v>0</v>
      </c>
    </row>
  </sheetData>
  <mergeCells count="10">
    <mergeCell ref="I7:L7"/>
    <mergeCell ref="D7:G7"/>
    <mergeCell ref="N7:Q7"/>
    <mergeCell ref="S7:T7"/>
    <mergeCell ref="V7:W7"/>
    <mergeCell ref="N8:Q8"/>
    <mergeCell ref="S8:T8"/>
    <mergeCell ref="V8:W8"/>
    <mergeCell ref="I8:L8"/>
    <mergeCell ref="D8:G8"/>
  </mergeCells>
  <hyperlinks>
    <hyperlink ref="A6" location="КАФЕДРА!R21C145" display="← на общую страницу"/>
    <hyperlink ref="D5" location="КАФЕДРА!R21C145" display="← на общую страницу"/>
  </hyperlinks>
  <pageMargins left="0.25" right="0.25" top="0.75" bottom="0.75" header="0.3" footer="0.3"/>
  <pageSetup paperSize="9" scale="43" fitToHeight="0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6" tint="0.39997558519241921"/>
  </sheetPr>
  <dimension ref="A1:BN78"/>
  <sheetViews>
    <sheetView zoomScale="90" zoomScaleNormal="90" workbookViewId="0">
      <pane xSplit="6" ySplit="18" topLeftCell="G19" activePane="bottomRight" state="frozen"/>
      <selection activeCell="AL19" sqref="AL19"/>
      <selection pane="topRight" activeCell="AL19" sqref="AL19"/>
      <selection pane="bottomLeft" activeCell="AL19" sqref="AL19"/>
      <selection pane="bottomRight" activeCell="I23" sqref="I23"/>
    </sheetView>
  </sheetViews>
  <sheetFormatPr defaultColWidth="9.140625" defaultRowHeight="14.25" x14ac:dyDescent="0.2"/>
  <cols>
    <col min="1" max="1" width="50.7109375" style="182" customWidth="1"/>
    <col min="2" max="2" width="18.7109375" style="182" hidden="1" customWidth="1"/>
    <col min="3" max="3" width="7.85546875" style="182" customWidth="1"/>
    <col min="4" max="4" width="8.28515625" style="182" hidden="1" customWidth="1"/>
    <col min="5" max="6" width="9.7109375" style="182" hidden="1" customWidth="1"/>
    <col min="7" max="7" width="8" style="182" customWidth="1"/>
    <col min="8" max="8" width="8.85546875" style="182" customWidth="1"/>
    <col min="9" max="9" width="10.28515625" style="182" customWidth="1"/>
    <col min="10" max="10" width="20.5703125" style="182" customWidth="1"/>
    <col min="11" max="11" width="21.140625" style="182" customWidth="1"/>
    <col min="12" max="12" width="10.28515625" style="182" customWidth="1"/>
    <col min="13" max="13" width="8.28515625" style="182" customWidth="1"/>
    <col min="14" max="14" width="6.7109375" style="182" customWidth="1"/>
    <col min="15" max="15" width="21.28515625" style="182" customWidth="1"/>
    <col min="16" max="16" width="8" style="182" customWidth="1"/>
    <col min="17" max="17" width="9.7109375" style="182" customWidth="1"/>
    <col min="18" max="18" width="13" style="182" customWidth="1"/>
    <col min="19" max="19" width="8.7109375" style="182" customWidth="1"/>
    <col min="20" max="20" width="8.5703125" style="182" customWidth="1"/>
    <col min="21" max="21" width="8.7109375" style="182" customWidth="1"/>
    <col min="22" max="22" width="8.28515625" style="182" customWidth="1"/>
    <col min="23" max="23" width="8.140625" style="182" customWidth="1"/>
    <col min="24" max="24" width="8.85546875" style="182" customWidth="1"/>
    <col min="25" max="25" width="8" style="182" customWidth="1"/>
    <col min="26" max="26" width="15.42578125" style="182" customWidth="1"/>
    <col min="27" max="27" width="9" style="182" hidden="1" customWidth="1"/>
    <col min="28" max="28" width="8.42578125" style="182" hidden="1" customWidth="1"/>
    <col min="29" max="29" width="12.7109375" style="182" hidden="1" customWidth="1"/>
    <col min="30" max="30" width="18.28515625" style="182" hidden="1" customWidth="1"/>
    <col min="31" max="31" width="9.5703125" style="182" hidden="1" customWidth="1"/>
    <col min="32" max="32" width="10" style="182" hidden="1" customWidth="1"/>
    <col min="33" max="33" width="12.5703125" style="182" hidden="1" customWidth="1"/>
    <col min="34" max="34" width="15.7109375" style="182" hidden="1" customWidth="1"/>
    <col min="35" max="35" width="9.140625" style="182" hidden="1" customWidth="1"/>
    <col min="36" max="36" width="9.7109375" style="182" hidden="1" customWidth="1"/>
    <col min="37" max="37" width="12.5703125" style="182" hidden="1" customWidth="1"/>
    <col min="38" max="38" width="18.28515625" style="182" hidden="1" customWidth="1"/>
    <col min="39" max="39" width="8.42578125" style="182" hidden="1" customWidth="1"/>
    <col min="40" max="40" width="8.7109375" style="182" hidden="1" customWidth="1"/>
    <col min="41" max="41" width="12.5703125" style="182" hidden="1" customWidth="1"/>
    <col min="42" max="42" width="17.5703125" style="182" hidden="1" customWidth="1"/>
    <col min="43" max="44" width="6.85546875" style="182" hidden="1" customWidth="1"/>
    <col min="45" max="45" width="12.5703125" style="182" hidden="1" customWidth="1"/>
    <col min="46" max="46" width="18.28515625" style="182" hidden="1" customWidth="1"/>
    <col min="47" max="51" width="9.140625" style="182" customWidth="1"/>
    <col min="52" max="16384" width="9.140625" style="182"/>
  </cols>
  <sheetData>
    <row r="1" spans="1:46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180" t="s">
        <v>144</v>
      </c>
      <c r="E1" s="180" t="s">
        <v>144</v>
      </c>
      <c r="F1" s="180" t="s">
        <v>144</v>
      </c>
      <c r="G1" s="181"/>
      <c r="H1" s="181"/>
      <c r="I1" s="181"/>
      <c r="J1" s="181"/>
      <c r="X1" s="181"/>
      <c r="Y1" s="181"/>
      <c r="Z1" s="181"/>
      <c r="AA1" s="180" t="s">
        <v>144</v>
      </c>
      <c r="AB1" s="180" t="s">
        <v>144</v>
      </c>
      <c r="AC1" s="180" t="s">
        <v>144</v>
      </c>
      <c r="AD1" s="180" t="s">
        <v>144</v>
      </c>
      <c r="AE1" s="180" t="s">
        <v>144</v>
      </c>
      <c r="AF1" s="180" t="s">
        <v>144</v>
      </c>
      <c r="AG1" s="180" t="s">
        <v>144</v>
      </c>
      <c r="AH1" s="180" t="s">
        <v>144</v>
      </c>
      <c r="AI1" s="180" t="s">
        <v>144</v>
      </c>
      <c r="AJ1" s="180" t="s">
        <v>144</v>
      </c>
      <c r="AK1" s="180" t="s">
        <v>144</v>
      </c>
      <c r="AL1" s="180" t="s">
        <v>144</v>
      </c>
      <c r="AM1" s="181"/>
      <c r="AN1" s="181"/>
      <c r="AO1" s="181"/>
      <c r="AP1" s="181"/>
      <c r="AQ1" s="181"/>
      <c r="AR1" s="181"/>
      <c r="AS1" s="181"/>
      <c r="AT1" s="181"/>
    </row>
    <row r="2" spans="1:46" ht="13.5" hidden="1" customHeight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</row>
    <row r="3" spans="1:46" hidden="1" x14ac:dyDescent="0.2"/>
    <row r="4" spans="1:46" s="293" customFormat="1" x14ac:dyDescent="0.2"/>
    <row r="5" spans="1:46" ht="22.5" x14ac:dyDescent="0.3">
      <c r="A5" s="209" t="s">
        <v>161</v>
      </c>
      <c r="G5" s="248" t="s">
        <v>230</v>
      </c>
      <c r="H5" s="257"/>
      <c r="I5" s="257"/>
      <c r="J5" s="257"/>
      <c r="K5" s="257"/>
      <c r="L5" s="257"/>
      <c r="M5" s="257"/>
      <c r="N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</row>
    <row r="6" spans="1:46" s="216" customFormat="1" ht="17.25" customHeight="1" x14ac:dyDescent="0.25">
      <c r="A6" s="210" t="s">
        <v>76</v>
      </c>
      <c r="K6" s="181"/>
      <c r="L6" s="217" t="s">
        <v>76</v>
      </c>
      <c r="O6" s="217" t="s">
        <v>76</v>
      </c>
      <c r="P6" s="218" t="s">
        <v>76</v>
      </c>
      <c r="T6" s="218" t="s">
        <v>76</v>
      </c>
      <c r="X6" s="184"/>
      <c r="Y6" s="184"/>
    </row>
    <row r="7" spans="1:46" ht="18" x14ac:dyDescent="0.25">
      <c r="A7" s="477" t="s">
        <v>242</v>
      </c>
      <c r="L7" s="185" t="s">
        <v>497</v>
      </c>
      <c r="X7" s="184"/>
      <c r="Y7" s="184"/>
      <c r="Z7" s="211"/>
    </row>
    <row r="8" spans="1:46" ht="18" x14ac:dyDescent="0.25">
      <c r="A8" s="1223">
        <f ca="1">NOW()</f>
        <v>45929.466219097223</v>
      </c>
      <c r="B8" s="767"/>
      <c r="C8" s="767"/>
      <c r="D8" s="767"/>
      <c r="E8" s="767"/>
      <c r="F8" s="767"/>
      <c r="G8" s="2253" t="s">
        <v>135</v>
      </c>
      <c r="H8" s="2254"/>
      <c r="I8" s="2254"/>
      <c r="J8" s="2254"/>
      <c r="K8" s="2255"/>
      <c r="L8" s="2251" t="s">
        <v>134</v>
      </c>
      <c r="M8" s="2251"/>
      <c r="N8" s="2251"/>
      <c r="O8" s="2251"/>
      <c r="P8" s="2251"/>
      <c r="Q8" s="2251"/>
      <c r="R8" s="2251"/>
      <c r="S8" s="2251"/>
      <c r="T8" s="2251"/>
      <c r="U8" s="2251"/>
      <c r="V8" s="2251"/>
      <c r="W8" s="2251"/>
      <c r="X8" s="2251"/>
      <c r="Y8" s="2251"/>
      <c r="Z8" s="2252"/>
      <c r="AA8" s="767"/>
      <c r="AB8" s="767"/>
      <c r="AC8" s="767"/>
      <c r="AD8" s="767"/>
      <c r="AE8" s="1329" t="s">
        <v>64</v>
      </c>
      <c r="AF8" s="767"/>
      <c r="AG8" s="767"/>
      <c r="AH8" s="767"/>
      <c r="AI8" s="767"/>
      <c r="AJ8" s="767"/>
      <c r="AK8" s="767"/>
      <c r="AL8" s="767"/>
      <c r="AM8" s="767"/>
      <c r="AN8" s="767"/>
      <c r="AO8" s="767"/>
      <c r="AP8" s="767"/>
      <c r="AQ8" s="767"/>
      <c r="AR8" s="767"/>
      <c r="AS8" s="767"/>
      <c r="AT8" s="767"/>
    </row>
    <row r="9" spans="1:46" ht="55.5" customHeight="1" x14ac:dyDescent="0.2">
      <c r="A9" s="1330" t="str">
        <f>ТИТУЛ!$B$22&amp;" квартал "&amp;ТИТУЛ!$D$22&amp;" года"</f>
        <v>2 квартал 2024 года</v>
      </c>
      <c r="B9" s="767"/>
      <c r="C9" s="767"/>
      <c r="D9" s="767"/>
      <c r="E9" s="767"/>
      <c r="F9" s="767"/>
      <c r="G9" s="2256"/>
      <c r="H9" s="2257"/>
      <c r="I9" s="2257"/>
      <c r="J9" s="2257"/>
      <c r="K9" s="2258"/>
      <c r="L9" s="2266" t="s">
        <v>125</v>
      </c>
      <c r="M9" s="2267"/>
      <c r="N9" s="2268"/>
      <c r="O9" s="1331" t="s">
        <v>129</v>
      </c>
      <c r="P9" s="2269" t="s">
        <v>139</v>
      </c>
      <c r="Q9" s="2269"/>
      <c r="R9" s="2269"/>
      <c r="S9" s="2270"/>
      <c r="T9" s="2264" t="s">
        <v>248</v>
      </c>
      <c r="U9" s="2264"/>
      <c r="V9" s="2264"/>
      <c r="W9" s="2264"/>
      <c r="X9" s="2264"/>
      <c r="Y9" s="2264"/>
      <c r="Z9" s="2265"/>
      <c r="AA9" s="2275" t="s">
        <v>210</v>
      </c>
      <c r="AB9" s="2275"/>
      <c r="AC9" s="2275"/>
      <c r="AD9" s="2275"/>
      <c r="AE9" s="2274" t="s">
        <v>211</v>
      </c>
      <c r="AF9" s="2275"/>
      <c r="AG9" s="2275"/>
      <c r="AH9" s="2275"/>
      <c r="AI9" s="2271" t="s">
        <v>173</v>
      </c>
      <c r="AJ9" s="2272"/>
      <c r="AK9" s="2272"/>
      <c r="AL9" s="2273"/>
      <c r="AM9" s="2261" t="s">
        <v>162</v>
      </c>
      <c r="AN9" s="2262"/>
      <c r="AO9" s="2262"/>
      <c r="AP9" s="2263"/>
      <c r="AQ9" s="2259" t="s">
        <v>138</v>
      </c>
      <c r="AR9" s="2259"/>
      <c r="AS9" s="2259"/>
      <c r="AT9" s="2260"/>
    </row>
    <row r="10" spans="1:46" hidden="1" x14ac:dyDescent="0.2">
      <c r="A10" s="1225" t="s">
        <v>171</v>
      </c>
      <c r="B10" s="188"/>
      <c r="C10" s="188"/>
      <c r="D10" s="188"/>
      <c r="E10" s="188"/>
      <c r="F10" s="188"/>
      <c r="G10" s="188"/>
      <c r="H10" s="188"/>
      <c r="I10" s="188"/>
      <c r="J10" s="188"/>
      <c r="K10" s="802"/>
      <c r="L10" s="188">
        <v>1</v>
      </c>
      <c r="M10" s="188">
        <v>1</v>
      </c>
      <c r="N10" s="1132">
        <v>1</v>
      </c>
      <c r="O10" s="803">
        <v>1</v>
      </c>
      <c r="P10" s="188">
        <v>1</v>
      </c>
      <c r="Q10" s="188">
        <v>1</v>
      </c>
      <c r="R10" s="188">
        <v>1</v>
      </c>
      <c r="S10" s="1132">
        <v>1</v>
      </c>
      <c r="T10" s="188">
        <v>1</v>
      </c>
      <c r="U10" s="188">
        <v>1</v>
      </c>
      <c r="V10" s="188">
        <v>1</v>
      </c>
      <c r="W10" s="188">
        <v>1</v>
      </c>
      <c r="X10" s="188">
        <v>1</v>
      </c>
      <c r="Y10" s="188">
        <v>1</v>
      </c>
      <c r="Z10" s="1132">
        <v>1</v>
      </c>
      <c r="AA10" s="767"/>
      <c r="AB10" s="767"/>
      <c r="AC10" s="767"/>
      <c r="AD10" s="1133"/>
      <c r="AE10" s="767"/>
      <c r="AF10" s="767"/>
      <c r="AG10" s="767"/>
      <c r="AH10" s="767"/>
      <c r="AI10" s="767"/>
      <c r="AJ10" s="767"/>
      <c r="AK10" s="767"/>
      <c r="AL10" s="1133"/>
      <c r="AM10" s="767"/>
      <c r="AN10" s="767"/>
      <c r="AO10" s="767"/>
      <c r="AP10" s="1133"/>
      <c r="AQ10" s="767"/>
      <c r="AR10" s="767"/>
      <c r="AS10" s="767"/>
      <c r="AT10" s="1133"/>
    </row>
    <row r="11" spans="1:46" ht="13.5" hidden="1" customHeight="1" x14ac:dyDescent="0.2">
      <c r="A11" s="1225" t="s">
        <v>208</v>
      </c>
      <c r="B11" s="188"/>
      <c r="C11" s="188"/>
      <c r="D11" s="188"/>
      <c r="E11" s="188"/>
      <c r="F11" s="188"/>
      <c r="G11" s="188"/>
      <c r="H11" s="188"/>
      <c r="I11" s="188"/>
      <c r="J11" s="188"/>
      <c r="K11" s="803"/>
      <c r="L11" s="188">
        <v>1</v>
      </c>
      <c r="M11" s="188">
        <v>1</v>
      </c>
      <c r="N11" s="803">
        <v>1</v>
      </c>
      <c r="O11" s="803">
        <v>1</v>
      </c>
      <c r="P11" s="188">
        <v>1</v>
      </c>
      <c r="Q11" s="188">
        <v>1</v>
      </c>
      <c r="R11" s="188">
        <v>1</v>
      </c>
      <c r="S11" s="803">
        <v>1</v>
      </c>
      <c r="T11" s="188">
        <v>1</v>
      </c>
      <c r="U11" s="188">
        <v>1</v>
      </c>
      <c r="V11" s="188">
        <v>1</v>
      </c>
      <c r="W11" s="188">
        <v>1</v>
      </c>
      <c r="X11" s="188">
        <v>1</v>
      </c>
      <c r="Y11" s="188">
        <v>1</v>
      </c>
      <c r="Z11" s="803">
        <v>1</v>
      </c>
      <c r="AA11" s="188"/>
      <c r="AB11" s="188"/>
      <c r="AC11" s="188"/>
      <c r="AD11" s="803"/>
      <c r="AE11" s="767"/>
      <c r="AF11" s="767"/>
      <c r="AG11" s="767"/>
      <c r="AH11" s="767"/>
      <c r="AI11" s="767"/>
      <c r="AJ11" s="767"/>
      <c r="AK11" s="767"/>
      <c r="AL11" s="1134"/>
      <c r="AM11" s="767"/>
      <c r="AN11" s="767"/>
      <c r="AO11" s="767"/>
      <c r="AP11" s="1134"/>
      <c r="AQ11" s="767"/>
      <c r="AR11" s="767"/>
      <c r="AS11" s="767"/>
      <c r="AT11" s="1134"/>
    </row>
    <row r="12" spans="1:46" ht="15.75" hidden="1" customHeight="1" x14ac:dyDescent="0.2">
      <c r="A12" s="189"/>
      <c r="B12" s="189"/>
      <c r="C12" s="189"/>
      <c r="D12" s="189"/>
      <c r="E12" s="189"/>
      <c r="F12" s="190"/>
      <c r="G12" s="189" t="s">
        <v>132</v>
      </c>
      <c r="H12" s="189" t="s">
        <v>133</v>
      </c>
      <c r="I12" s="189" t="s">
        <v>136</v>
      </c>
      <c r="J12" s="189" t="s">
        <v>136</v>
      </c>
      <c r="K12" s="769" t="s">
        <v>137</v>
      </c>
      <c r="L12" s="189" t="s">
        <v>132</v>
      </c>
      <c r="M12" s="189" t="s">
        <v>132</v>
      </c>
      <c r="N12" s="769" t="s">
        <v>132</v>
      </c>
      <c r="O12" s="769" t="s">
        <v>133</v>
      </c>
      <c r="P12" s="189" t="s">
        <v>136</v>
      </c>
      <c r="Q12" s="189" t="s">
        <v>136</v>
      </c>
      <c r="R12" s="189" t="s">
        <v>136</v>
      </c>
      <c r="S12" s="769" t="s">
        <v>136</v>
      </c>
      <c r="T12" s="189" t="s">
        <v>137</v>
      </c>
      <c r="U12" s="189" t="s">
        <v>137</v>
      </c>
      <c r="V12" s="189" t="s">
        <v>137</v>
      </c>
      <c r="W12" s="189" t="s">
        <v>137</v>
      </c>
      <c r="X12" s="189" t="s">
        <v>137</v>
      </c>
      <c r="Y12" s="189" t="s">
        <v>137</v>
      </c>
      <c r="Z12" s="769" t="s">
        <v>137</v>
      </c>
      <c r="AA12" s="189" t="s">
        <v>132</v>
      </c>
      <c r="AB12" s="189" t="s">
        <v>133</v>
      </c>
      <c r="AC12" s="189" t="s">
        <v>136</v>
      </c>
      <c r="AD12" s="1332" t="s">
        <v>137</v>
      </c>
      <c r="AE12" s="189" t="s">
        <v>132</v>
      </c>
      <c r="AF12" s="189" t="s">
        <v>133</v>
      </c>
      <c r="AG12" s="189" t="s">
        <v>136</v>
      </c>
      <c r="AH12" s="1332" t="s">
        <v>137</v>
      </c>
      <c r="AI12" s="189" t="s">
        <v>132</v>
      </c>
      <c r="AJ12" s="189" t="s">
        <v>133</v>
      </c>
      <c r="AK12" s="189" t="s">
        <v>136</v>
      </c>
      <c r="AL12" s="1332" t="s">
        <v>137</v>
      </c>
      <c r="AM12" s="189" t="s">
        <v>132</v>
      </c>
      <c r="AN12" s="189" t="s">
        <v>133</v>
      </c>
      <c r="AO12" s="189" t="s">
        <v>136</v>
      </c>
      <c r="AP12" s="1332" t="s">
        <v>137</v>
      </c>
      <c r="AQ12" s="189" t="s">
        <v>132</v>
      </c>
      <c r="AR12" s="189" t="s">
        <v>133</v>
      </c>
      <c r="AS12" s="189" t="s">
        <v>136</v>
      </c>
      <c r="AT12" s="1332" t="s">
        <v>137</v>
      </c>
    </row>
    <row r="13" spans="1:46" s="215" customFormat="1" ht="156" customHeight="1" x14ac:dyDescent="0.2">
      <c r="A13" s="191" t="s">
        <v>234</v>
      </c>
      <c r="B13" s="191">
        <f>КАФЕДРА!B10</f>
        <v>0</v>
      </c>
      <c r="C13" s="192" t="s">
        <v>32</v>
      </c>
      <c r="D13" s="1333" t="s">
        <v>229</v>
      </c>
      <c r="E13" s="1333" t="s">
        <v>209</v>
      </c>
      <c r="F13" s="1333" t="s">
        <v>210</v>
      </c>
      <c r="G13" s="1334" t="s">
        <v>543</v>
      </c>
      <c r="H13" s="1335" t="s">
        <v>544</v>
      </c>
      <c r="I13" s="1336" t="s">
        <v>545</v>
      </c>
      <c r="J13" s="1337" t="s">
        <v>546</v>
      </c>
      <c r="K13" s="1338" t="s">
        <v>547</v>
      </c>
      <c r="L13" s="1339" t="s">
        <v>128</v>
      </c>
      <c r="M13" s="1334" t="s">
        <v>127</v>
      </c>
      <c r="N13" s="1340" t="s">
        <v>126</v>
      </c>
      <c r="O13" s="1341" t="s">
        <v>130</v>
      </c>
      <c r="P13" s="1342" t="s">
        <v>548</v>
      </c>
      <c r="Q13" s="1337" t="s">
        <v>549</v>
      </c>
      <c r="R13" s="1337" t="s">
        <v>550</v>
      </c>
      <c r="S13" s="1343" t="s">
        <v>551</v>
      </c>
      <c r="T13" s="1344" t="s">
        <v>166</v>
      </c>
      <c r="U13" s="1345" t="s">
        <v>167</v>
      </c>
      <c r="V13" s="1345" t="s">
        <v>247</v>
      </c>
      <c r="W13" s="1345" t="s">
        <v>168</v>
      </c>
      <c r="X13" s="1345" t="s">
        <v>169</v>
      </c>
      <c r="Y13" s="1346" t="s">
        <v>254</v>
      </c>
      <c r="Z13" s="1347" t="s">
        <v>249</v>
      </c>
      <c r="AA13" s="1348" t="s">
        <v>125</v>
      </c>
      <c r="AB13" s="1333" t="s">
        <v>129</v>
      </c>
      <c r="AC13" s="1333" t="s">
        <v>131</v>
      </c>
      <c r="AD13" s="1349" t="s">
        <v>170</v>
      </c>
      <c r="AE13" s="1348" t="s">
        <v>125</v>
      </c>
      <c r="AF13" s="1333" t="s">
        <v>129</v>
      </c>
      <c r="AG13" s="1333" t="s">
        <v>131</v>
      </c>
      <c r="AH13" s="1349" t="s">
        <v>170</v>
      </c>
      <c r="AI13" s="1350" t="s">
        <v>125</v>
      </c>
      <c r="AJ13" s="1334" t="s">
        <v>129</v>
      </c>
      <c r="AK13" s="1334" t="s">
        <v>131</v>
      </c>
      <c r="AL13" s="1340" t="s">
        <v>170</v>
      </c>
      <c r="AM13" s="1351" t="s">
        <v>125</v>
      </c>
      <c r="AN13" s="1352" t="s">
        <v>129</v>
      </c>
      <c r="AO13" s="1352" t="s">
        <v>131</v>
      </c>
      <c r="AP13" s="1353" t="s">
        <v>170</v>
      </c>
      <c r="AQ13" s="1350" t="s">
        <v>125</v>
      </c>
      <c r="AR13" s="1334" t="s">
        <v>129</v>
      </c>
      <c r="AS13" s="1334" t="s">
        <v>131</v>
      </c>
      <c r="AT13" s="1340" t="s">
        <v>170</v>
      </c>
    </row>
    <row r="14" spans="1:46" hidden="1" x14ac:dyDescent="0.2">
      <c r="A14" s="195"/>
      <c r="B14" s="195"/>
      <c r="C14" s="195"/>
      <c r="D14" s="196"/>
      <c r="E14" s="195"/>
      <c r="F14" s="195"/>
      <c r="G14" s="195"/>
      <c r="H14" s="195"/>
      <c r="I14" s="195"/>
      <c r="J14" s="195"/>
      <c r="K14" s="768"/>
      <c r="L14" s="195"/>
      <c r="M14" s="195"/>
      <c r="N14" s="195"/>
      <c r="O14" s="768"/>
      <c r="P14" s="195"/>
      <c r="Q14" s="195"/>
      <c r="R14" s="195"/>
      <c r="S14" s="768"/>
      <c r="T14" s="195"/>
      <c r="U14" s="195"/>
      <c r="V14" s="195"/>
      <c r="W14" s="195"/>
      <c r="X14" s="195"/>
      <c r="Y14" s="195"/>
      <c r="Z14" s="768"/>
      <c r="AA14" s="195"/>
      <c r="AB14" s="195"/>
      <c r="AC14" s="195"/>
      <c r="AD14" s="768"/>
      <c r="AE14" s="767"/>
      <c r="AF14" s="767"/>
      <c r="AG14" s="767"/>
      <c r="AH14" s="767"/>
      <c r="AI14" s="767"/>
      <c r="AJ14" s="767"/>
      <c r="AK14" s="767"/>
      <c r="AL14" s="1134"/>
      <c r="AM14" s="767"/>
      <c r="AN14" s="767"/>
      <c r="AO14" s="767"/>
      <c r="AP14" s="1134"/>
      <c r="AQ14" s="767"/>
      <c r="AR14" s="767"/>
      <c r="AS14" s="767"/>
      <c r="AT14" s="1134"/>
    </row>
    <row r="15" spans="1:46" hidden="1" x14ac:dyDescent="0.2">
      <c r="A15" s="195"/>
      <c r="B15" s="195"/>
      <c r="C15" s="195"/>
      <c r="D15" s="196"/>
      <c r="E15" s="195"/>
      <c r="F15" s="195"/>
      <c r="G15" s="195"/>
      <c r="H15" s="195"/>
      <c r="I15" s="195"/>
      <c r="J15" s="195"/>
      <c r="K15" s="768"/>
      <c r="L15" s="195"/>
      <c r="M15" s="195"/>
      <c r="N15" s="195"/>
      <c r="O15" s="768"/>
      <c r="P15" s="195"/>
      <c r="Q15" s="195"/>
      <c r="R15" s="195"/>
      <c r="S15" s="768"/>
      <c r="T15" s="195"/>
      <c r="U15" s="195"/>
      <c r="V15" s="195"/>
      <c r="W15" s="195"/>
      <c r="X15" s="195"/>
      <c r="Y15" s="195"/>
      <c r="Z15" s="768"/>
      <c r="AA15" s="195"/>
      <c r="AB15" s="195"/>
      <c r="AC15" s="195"/>
      <c r="AD15" s="768"/>
      <c r="AE15" s="767"/>
      <c r="AF15" s="767"/>
      <c r="AG15" s="767"/>
      <c r="AH15" s="767"/>
      <c r="AI15" s="767"/>
      <c r="AJ15" s="767"/>
      <c r="AK15" s="767"/>
      <c r="AL15" s="1134"/>
      <c r="AM15" s="767"/>
      <c r="AN15" s="767"/>
      <c r="AO15" s="767"/>
      <c r="AP15" s="1134"/>
      <c r="AQ15" s="767"/>
      <c r="AR15" s="767"/>
      <c r="AS15" s="767"/>
      <c r="AT15" s="1134"/>
    </row>
    <row r="16" spans="1:46" hidden="1" x14ac:dyDescent="0.2">
      <c r="A16" s="195"/>
      <c r="B16" s="195"/>
      <c r="C16" s="195"/>
      <c r="D16" s="196"/>
      <c r="E16" s="195"/>
      <c r="F16" s="195"/>
      <c r="G16" s="195"/>
      <c r="H16" s="195"/>
      <c r="I16" s="195"/>
      <c r="J16" s="195"/>
      <c r="K16" s="768"/>
      <c r="L16" s="195"/>
      <c r="M16" s="195"/>
      <c r="N16" s="195"/>
      <c r="O16" s="768"/>
      <c r="P16" s="195"/>
      <c r="Q16" s="195"/>
      <c r="R16" s="195"/>
      <c r="S16" s="768"/>
      <c r="T16" s="195"/>
      <c r="U16" s="195"/>
      <c r="V16" s="195"/>
      <c r="W16" s="195"/>
      <c r="X16" s="195"/>
      <c r="Y16" s="195"/>
      <c r="Z16" s="768"/>
      <c r="AA16" s="195"/>
      <c r="AB16" s="195"/>
      <c r="AC16" s="195"/>
      <c r="AD16" s="768"/>
      <c r="AE16" s="767"/>
      <c r="AF16" s="767"/>
      <c r="AG16" s="767"/>
      <c r="AH16" s="767"/>
      <c r="AI16" s="767"/>
      <c r="AJ16" s="767"/>
      <c r="AK16" s="767"/>
      <c r="AL16" s="1134"/>
      <c r="AM16" s="767"/>
      <c r="AN16" s="767"/>
      <c r="AO16" s="767"/>
      <c r="AP16" s="1134"/>
      <c r="AQ16" s="767"/>
      <c r="AR16" s="767"/>
      <c r="AS16" s="767"/>
      <c r="AT16" s="1134"/>
    </row>
    <row r="17" spans="1:66" hidden="1" x14ac:dyDescent="0.2">
      <c r="A17" s="195"/>
      <c r="B17" s="195"/>
      <c r="C17" s="195"/>
      <c r="D17" s="196"/>
      <c r="E17" s="195"/>
      <c r="F17" s="195"/>
      <c r="G17" s="195"/>
      <c r="H17" s="195"/>
      <c r="I17" s="195"/>
      <c r="J17" s="195"/>
      <c r="K17" s="768"/>
      <c r="L17" s="195"/>
      <c r="M17" s="195"/>
      <c r="N17" s="195"/>
      <c r="O17" s="768"/>
      <c r="P17" s="195"/>
      <c r="Q17" s="195"/>
      <c r="R17" s="195"/>
      <c r="S17" s="768"/>
      <c r="T17" s="195"/>
      <c r="U17" s="195"/>
      <c r="V17" s="195"/>
      <c r="W17" s="195"/>
      <c r="X17" s="195"/>
      <c r="Y17" s="195"/>
      <c r="Z17" s="768"/>
      <c r="AA17" s="195"/>
      <c r="AB17" s="195"/>
      <c r="AC17" s="195"/>
      <c r="AD17" s="768"/>
      <c r="AE17" s="767"/>
      <c r="AF17" s="767"/>
      <c r="AG17" s="767"/>
      <c r="AH17" s="767"/>
      <c r="AI17" s="767"/>
      <c r="AJ17" s="767"/>
      <c r="AK17" s="767"/>
      <c r="AL17" s="1134"/>
      <c r="AM17" s="767"/>
      <c r="AN17" s="767"/>
      <c r="AO17" s="767"/>
      <c r="AP17" s="1134"/>
      <c r="AQ17" s="767"/>
      <c r="AR17" s="767"/>
      <c r="AS17" s="767"/>
      <c r="AT17" s="1134"/>
    </row>
    <row r="18" spans="1:66" ht="6.75" customHeight="1" thickBot="1" x14ac:dyDescent="0.25">
      <c r="A18" s="197"/>
      <c r="B18" s="197"/>
      <c r="C18" s="197"/>
      <c r="D18" s="198"/>
      <c r="E18" s="197"/>
      <c r="F18" s="199"/>
      <c r="G18" s="199"/>
      <c r="H18" s="199"/>
      <c r="I18" s="199"/>
      <c r="J18" s="199"/>
      <c r="K18" s="1283"/>
      <c r="L18" s="197"/>
      <c r="M18" s="197"/>
      <c r="N18" s="769"/>
      <c r="O18" s="769"/>
      <c r="P18" s="197"/>
      <c r="Q18" s="197"/>
      <c r="R18" s="197"/>
      <c r="S18" s="769"/>
      <c r="T18" s="197"/>
      <c r="U18" s="197"/>
      <c r="V18" s="197"/>
      <c r="W18" s="197"/>
      <c r="X18" s="199"/>
      <c r="Y18" s="199"/>
      <c r="Z18" s="1283"/>
      <c r="AA18" s="199"/>
      <c r="AB18" s="199"/>
      <c r="AC18" s="199"/>
      <c r="AD18" s="1283"/>
      <c r="AE18" s="199"/>
      <c r="AF18" s="199"/>
      <c r="AG18" s="199"/>
      <c r="AH18" s="1283"/>
      <c r="AI18" s="199"/>
      <c r="AJ18" s="199"/>
      <c r="AK18" s="199"/>
      <c r="AL18" s="1354"/>
      <c r="AM18" s="199"/>
      <c r="AN18" s="199"/>
      <c r="AO18" s="199"/>
      <c r="AP18" s="1283"/>
      <c r="AQ18" s="199"/>
      <c r="AR18" s="199"/>
      <c r="AS18" s="199"/>
      <c r="AT18" s="1283"/>
    </row>
    <row r="19" spans="1:66" s="728" customFormat="1" ht="15" thickBot="1" x14ac:dyDescent="0.25">
      <c r="A19" s="1186" t="str">
        <f>КАФЕДРА!A19</f>
        <v>сумма по кафедрам (проверочная)</v>
      </c>
      <c r="B19" s="1186"/>
      <c r="C19" s="1355">
        <f>IF(LEN(КАФЕДРА!$A19)&gt;2,КАФЕДРА!C19,0)</f>
        <v>0</v>
      </c>
      <c r="D19" s="1355" t="str">
        <f t="array" ref="D19">IF(SUM($G19:$K19)=0,нет,SUM($L19:$Z19)*100/SUM($G19:$K19))</f>
        <v>нет</v>
      </c>
      <c r="E19" s="1355">
        <f>IF($C19=0,0,$F19/$C19)</f>
        <v>0</v>
      </c>
      <c r="F19" s="1355">
        <f t="array" ref="F19">SUM(($L19:$Z19)*($L$11:$Z$11))</f>
        <v>0</v>
      </c>
      <c r="G19" s="1355">
        <f t="shared" ref="G19:Z19" si="0">SUM(G20:G77)</f>
        <v>0</v>
      </c>
      <c r="H19" s="1355">
        <f t="shared" si="0"/>
        <v>0</v>
      </c>
      <c r="I19" s="1355">
        <f t="shared" si="0"/>
        <v>0</v>
      </c>
      <c r="J19" s="1355">
        <f t="shared" si="0"/>
        <v>0</v>
      </c>
      <c r="K19" s="1356">
        <f t="shared" si="0"/>
        <v>0</v>
      </c>
      <c r="L19" s="1357">
        <f t="shared" si="0"/>
        <v>0</v>
      </c>
      <c r="M19" s="1355">
        <f t="shared" si="0"/>
        <v>0</v>
      </c>
      <c r="N19" s="1356">
        <f t="shared" si="0"/>
        <v>0</v>
      </c>
      <c r="O19" s="1358">
        <f t="shared" si="0"/>
        <v>0</v>
      </c>
      <c r="P19" s="1357">
        <f t="shared" si="0"/>
        <v>0</v>
      </c>
      <c r="Q19" s="1355">
        <f t="shared" si="0"/>
        <v>0</v>
      </c>
      <c r="R19" s="1355">
        <f t="shared" si="0"/>
        <v>0</v>
      </c>
      <c r="S19" s="1356">
        <f t="shared" si="0"/>
        <v>0</v>
      </c>
      <c r="T19" s="1357">
        <f t="shared" si="0"/>
        <v>0</v>
      </c>
      <c r="U19" s="1355">
        <f t="shared" si="0"/>
        <v>0</v>
      </c>
      <c r="V19" s="1355">
        <f t="shared" si="0"/>
        <v>0</v>
      </c>
      <c r="W19" s="1355">
        <f t="shared" si="0"/>
        <v>0</v>
      </c>
      <c r="X19" s="1355">
        <f t="shared" si="0"/>
        <v>0</v>
      </c>
      <c r="Y19" s="1355">
        <f t="shared" si="0"/>
        <v>0</v>
      </c>
      <c r="Z19" s="1356">
        <f t="shared" si="0"/>
        <v>0</v>
      </c>
      <c r="AA19" s="1357">
        <f t="array" ref="AA19">SUM(($L19:$Z19)*($L$11:$Z$11)*($L$12:$Z$12=AA$12))</f>
        <v>0</v>
      </c>
      <c r="AB19" s="1355">
        <f t="array" ref="AB19">ПрофРабота!$C19</f>
        <v>0</v>
      </c>
      <c r="AC19" s="1355">
        <f t="array" ref="AC19">SUM(($L19:$Z19)*($L$11:$Z$11)*($L$12:$Z$12=AC$12))</f>
        <v>0</v>
      </c>
      <c r="AD19" s="1356">
        <f t="array" ref="AD19">SUM(($L19:$Z19)*($L$11:$Z$11)*($L$12:$Z$12=AD$12))</f>
        <v>0</v>
      </c>
      <c r="AE19" s="1357" t="e">
        <f t="shared" ref="AE19:AE50" si="1">AA19/$C19</f>
        <v>#DIV/0!</v>
      </c>
      <c r="AF19" s="1355" t="e">
        <f t="shared" ref="AF19:AF50" si="2">AB19/$C19</f>
        <v>#DIV/0!</v>
      </c>
      <c r="AG19" s="1355" t="e">
        <f t="shared" ref="AG19:AG50" si="3">AC19/$C19</f>
        <v>#DIV/0!</v>
      </c>
      <c r="AH19" s="1356" t="e">
        <f t="shared" ref="AH19:AH23" si="4">AD19/$C19</f>
        <v>#DIV/0!</v>
      </c>
      <c r="AI19" s="1357">
        <f t="array" ref="AI19">IF(SUM(($L19:$Z19)*($L$11:$Z$11)*($L$12:$Z$12=AI$12))&gt;0,100,0)</f>
        <v>0</v>
      </c>
      <c r="AJ19" s="1355">
        <f t="array" ref="AJ19">IF(SUM(($L19:$Z19)*($L$11:$Z$11)*($L$12:$Z$12=AJ$12))&gt;0,100,0)</f>
        <v>0</v>
      </c>
      <c r="AK19" s="1355">
        <f t="array" ref="AK19">IF(SUM(($L19:$Z19)*($L$11:$Z$11)*($L$12:$Z$12=AK$12))&gt;0,100,0)</f>
        <v>0</v>
      </c>
      <c r="AL19" s="1356">
        <f t="array" ref="AL19">IF(SUM(($L19:$Z19)*($L$11:$Z$11)*($L$12:$Z$12=AL$12))&gt;0,100,0)</f>
        <v>0</v>
      </c>
      <c r="AM19" s="1357" t="str">
        <f t="array" ref="AM19">IF(G19&lt;&gt;0,SUM(($L19:$Z19)*($L$12:$Z$12=AM$12))/G19*100,нет)</f>
        <v>нет</v>
      </c>
      <c r="AN19" s="1355" t="str">
        <f t="array" ref="AN19">IF(H19&lt;&gt;0,SUM(($L19:$Z19)*($L$12:$Z$12=AN$12))/H19*100,нет)</f>
        <v>нет</v>
      </c>
      <c r="AO19" s="1355" t="str">
        <f t="array" ref="AO19">IF(SUM($I19:$J19)&lt;&gt;0,SUM(($L19:$Z19)*($L$12:$Z$12=AO$12))/SUM($I19:$J19)*100,нет)</f>
        <v>нет</v>
      </c>
      <c r="AP19" s="1356" t="str">
        <f t="array" ref="AP19">IF(K19&lt;&gt;0,SUM(($L19:$Z19)*($L$12:$Z$12=AP$12))/K19*100,нет)</f>
        <v>нет</v>
      </c>
      <c r="AQ19" s="1357">
        <f t="array" ref="AQ19">SUM(($L19:$Z19)*($L$12:$Z$12=AQ$12))</f>
        <v>0</v>
      </c>
      <c r="AR19" s="1355">
        <f t="array" ref="AR19">SUM(($L19:$Z19)*($L$12:$Z$12=AR$12))</f>
        <v>0</v>
      </c>
      <c r="AS19" s="1355">
        <f t="array" ref="AS19">SUM(($L19:$Z19)*($L$12:$Z$12=AS$12))</f>
        <v>0</v>
      </c>
      <c r="AT19" s="1356">
        <f t="array" ref="AT19">SUM(($L19:$Z19)*($L$12:$Z$12=AT$12))</f>
        <v>0</v>
      </c>
      <c r="AU19" s="1130"/>
      <c r="AV19" s="1130"/>
      <c r="AW19" s="1130"/>
      <c r="AY19" s="1131"/>
    </row>
    <row r="20" spans="1:66" s="371" customFormat="1" x14ac:dyDescent="0.2">
      <c r="A20" s="582" t="str">
        <f>IF(LEN(КАФЕДРА!A20)&gt;2,КАФЕДРА!A20,"")</f>
        <v>Акушерства и гинекологии с курсом ДПО</v>
      </c>
      <c r="B20" s="370" t="str">
        <f>IF(LEN(КАФЕДРА!B20)&gt;2,КАФЕДРА!B20,"")</f>
        <v>Заведующий кафедрой</v>
      </c>
      <c r="C20" s="1185">
        <f>IF(LEN(КАФЕДРА!$A20)&gt;2,КАФЕДРА!C20,0)</f>
        <v>0</v>
      </c>
      <c r="D20" s="1359" t="str">
        <f t="shared" ref="D20:D51" si="5">IF(SUM($G20:$K20)=0,нет,IF((SUM($L20:$Z20)*100/SUM($G20:$K20))&gt;100,100,SUM($L20:$Z20)*100/SUM($G20:$K20)))</f>
        <v>нет</v>
      </c>
      <c r="E20" s="1360">
        <f t="shared" ref="E20:E77" si="6">IF($C20=0,0,$F20/$C20)</f>
        <v>0</v>
      </c>
      <c r="F20" s="1205">
        <f t="array" ref="F20">SUM(($L20:$Z20)*($L$11:$Z$11))</f>
        <v>0</v>
      </c>
      <c r="G20" s="1869"/>
      <c r="H20" s="1892"/>
      <c r="I20" s="1865"/>
      <c r="J20" s="1395"/>
      <c r="K20" s="1361"/>
      <c r="L20" s="1874"/>
      <c r="M20" s="1873"/>
      <c r="N20" s="1875"/>
      <c r="O20" s="1893"/>
      <c r="P20" s="1398"/>
      <c r="Q20" s="1395"/>
      <c r="R20" s="1395"/>
      <c r="S20" s="1885"/>
      <c r="T20" s="1362"/>
      <c r="U20" s="1363"/>
      <c r="V20" s="1363"/>
      <c r="W20" s="1363"/>
      <c r="X20" s="1363"/>
      <c r="Y20" s="1363"/>
      <c r="Z20" s="1361"/>
      <c r="AA20" s="1364">
        <f t="array" ref="AA20">SUM(($L20:$Z20)*($L$11:$Z$11)*($L$12:$Z$12=AA$12))</f>
        <v>0</v>
      </c>
      <c r="AB20" s="1287">
        <f t="array" ref="AB20">SUM(($L20:$Z20)*($L$11:$Z$11)*($L$12:$Z$12=AB$12))</f>
        <v>0</v>
      </c>
      <c r="AC20" s="1287">
        <f t="array" ref="AC20">SUM(($L20:$Z20)*($L$11:$Z$11)*($L$12:$Z$12=AC$12))</f>
        <v>0</v>
      </c>
      <c r="AD20" s="1365">
        <f t="array" ref="AD20">SUM(($L20:$Z20)*($L$11:$Z$11)*($L$12:$Z$12=AD$12))</f>
        <v>0</v>
      </c>
      <c r="AE20" s="1366" t="e">
        <f t="shared" si="1"/>
        <v>#DIV/0!</v>
      </c>
      <c r="AF20" s="1205" t="e">
        <f t="shared" si="2"/>
        <v>#DIV/0!</v>
      </c>
      <c r="AG20" s="1205" t="e">
        <f t="shared" si="3"/>
        <v>#DIV/0!</v>
      </c>
      <c r="AH20" s="1288" t="e">
        <f t="shared" si="4"/>
        <v>#DIV/0!</v>
      </c>
      <c r="AI20" s="1366">
        <f t="array" ref="AI20">IF(SUM(($L20:$Z20)*($L$11:$Z$11)*($L$12:$Z$12=AI$12))&gt;0,100,0)</f>
        <v>0</v>
      </c>
      <c r="AJ20" s="1205">
        <f t="array" ref="AJ20">IF(SUM(($L20:$Z20)*($L$11:$Z$11)*($L$12:$Z$12=AJ$12))&gt;0,100,0)</f>
        <v>0</v>
      </c>
      <c r="AK20" s="1205">
        <f t="array" ref="AK20">IF(SUM(($L20:$Z20)*($L$11:$Z$11)*($L$12:$Z$12=AK$12))&gt;0,100,0)</f>
        <v>0</v>
      </c>
      <c r="AL20" s="1288">
        <f t="array" ref="AL20">IF(SUM(($L20:$Z20)*($L$11:$Z$11)*($L$12:$Z$12=AL$12))&gt;0,100,0)</f>
        <v>0</v>
      </c>
      <c r="AM20" s="1366" t="str">
        <f t="array" ref="AM20">IF(G20&lt;&gt;0,SUM(($L20:$Z20)*($L$12:$Z$12=AM$12))/G20*100,IF((AQ20&gt;0),100,нет))</f>
        <v>нет</v>
      </c>
      <c r="AN20" s="1205" t="str">
        <f t="array" ref="AN20">IF(H20&lt;&gt;0,SUM(($L20:$Z20)*($L$12:$Z$12=AN$12))/H20*100,нет)</f>
        <v>нет</v>
      </c>
      <c r="AO20" s="1205" t="str">
        <f t="array" ref="AO20">IF(SUM($I20:$J20)&lt;&gt;0,SUM(($L20:$Z20)*($L$12:$Z$12=AO$12))/SUM($I20:$J20)*100,нет)</f>
        <v>нет</v>
      </c>
      <c r="AP20" s="1288" t="str">
        <f t="array" ref="AP20">IF(K20&lt;&gt;0,SUM(($L20:$Z20)*($L$12:$Z$12=AP$12))/K20*100,нет)</f>
        <v>нет</v>
      </c>
      <c r="AQ20" s="1364">
        <f t="array" ref="AQ20">SUM(($L20:$Z20)*($L$12:$Z$12=AQ$12))</f>
        <v>0</v>
      </c>
      <c r="AR20" s="1287">
        <f t="array" ref="AR20">SUM(($L20:$Z20)*($L$12:$Z$12=AR$12))</f>
        <v>0</v>
      </c>
      <c r="AS20" s="1287">
        <f t="array" ref="AS20">SUM(($L20:$Z20)*($L$12:$Z$12=AS$12))</f>
        <v>0</v>
      </c>
      <c r="AT20" s="1365">
        <f t="array" ref="AT20">SUM(($L20:$Z20)*($L$12:$Z$12=AT$12))</f>
        <v>0</v>
      </c>
      <c r="AU20" s="1126"/>
      <c r="AV20" s="1126"/>
      <c r="AW20" s="1126"/>
      <c r="AY20" s="1127"/>
      <c r="BN20" s="1127"/>
    </row>
    <row r="21" spans="1:66" x14ac:dyDescent="0.2">
      <c r="A21" s="551" t="str">
        <f>IF(LEN(КАФЕДРА!A21)&gt;2,КАФЕДРА!A21,"")</f>
        <v>Анатомии</v>
      </c>
      <c r="B21" s="960" t="str">
        <f>IF(LEN(КАФЕДРА!B21)&gt;2,КАФЕДРА!B21,"")</f>
        <v>Заведующий кафедрой</v>
      </c>
      <c r="C21" s="442">
        <f>IF(LEN(КАФЕДРА!$A21)&gt;2,КАФЕДРА!C21,0)</f>
        <v>0</v>
      </c>
      <c r="D21" s="1367" t="str">
        <f t="shared" si="5"/>
        <v>нет</v>
      </c>
      <c r="E21" s="719">
        <f t="shared" si="6"/>
        <v>0</v>
      </c>
      <c r="F21" s="399">
        <f t="array" ref="F21">SUM(($L21:$Z21)*($L$11:$Z$11))</f>
        <v>0</v>
      </c>
      <c r="G21" s="1870"/>
      <c r="H21" s="1894"/>
      <c r="I21" s="1866"/>
      <c r="J21" s="1394"/>
      <c r="K21" s="1368"/>
      <c r="L21" s="1877"/>
      <c r="M21" s="1876"/>
      <c r="N21" s="1878"/>
      <c r="O21" s="1369"/>
      <c r="P21" s="1399"/>
      <c r="Q21" s="1394"/>
      <c r="R21" s="1394"/>
      <c r="S21" s="1886"/>
      <c r="T21" s="1370"/>
      <c r="U21" s="1371"/>
      <c r="V21" s="1371"/>
      <c r="W21" s="1371"/>
      <c r="X21" s="1371"/>
      <c r="Y21" s="1371"/>
      <c r="Z21" s="1368"/>
      <c r="AA21" s="1372">
        <f t="array" ref="AA21">SUM(($L21:$Z21)*($L$11:$Z$11)*($L$12:$Z$12=AA$12))</f>
        <v>0</v>
      </c>
      <c r="AB21" s="742">
        <f t="array" ref="AB21">SUM(($L21:$Z21)*($L$11:$Z$11)*($L$12:$Z$12=AB$12))</f>
        <v>0</v>
      </c>
      <c r="AC21" s="742">
        <f t="array" ref="AC21">SUM(($L21:$Z21)*($L$11:$Z$11)*($L$12:$Z$12=AC$12))</f>
        <v>0</v>
      </c>
      <c r="AD21" s="1373">
        <f t="array" ref="AD21">SUM(($L21:$Z21)*($L$11:$Z$11)*($L$12:$Z$12=AD$12))</f>
        <v>0</v>
      </c>
      <c r="AE21" s="1374" t="e">
        <f t="shared" si="1"/>
        <v>#DIV/0!</v>
      </c>
      <c r="AF21" s="399" t="e">
        <f t="shared" si="2"/>
        <v>#DIV/0!</v>
      </c>
      <c r="AG21" s="399" t="e">
        <f t="shared" si="3"/>
        <v>#DIV/0!</v>
      </c>
      <c r="AH21" s="1308" t="e">
        <f t="shared" si="4"/>
        <v>#DIV/0!</v>
      </c>
      <c r="AI21" s="1374">
        <f t="array" ref="AI21">IF(SUM(($L21:$Z21)*($L$11:$Z$11)*($L$12:$Z$12=AI$12))&gt;0,100,0)</f>
        <v>0</v>
      </c>
      <c r="AJ21" s="399">
        <f t="array" ref="AJ21">IF(SUM(($L21:$Z21)*($L$11:$Z$11)*($L$12:$Z$12=AJ$12))&gt;0,100,0)</f>
        <v>0</v>
      </c>
      <c r="AK21" s="399">
        <f t="array" ref="AK21">IF(SUM(($L21:$Z21)*($L$11:$Z$11)*($L$12:$Z$12=AK$12))&gt;0,100,0)</f>
        <v>0</v>
      </c>
      <c r="AL21" s="1308">
        <f t="array" ref="AL21">IF(SUM(($L21:$Z21)*($L$11:$Z$11)*($L$12:$Z$12=AL$12))&gt;0,100,0)</f>
        <v>0</v>
      </c>
      <c r="AM21" s="1374" t="str">
        <f t="array" ref="AM21">IF(G21&lt;&gt;0,SUM(($L21:$Z21)*($L$12:$Z$12=AM$12))/G21*100,нет)</f>
        <v>нет</v>
      </c>
      <c r="AN21" s="399" t="str">
        <f t="array" ref="AN21">IF(H21&lt;&gt;0,SUM(($L21:$Z21)*($L$12:$Z$12=AN$12))/H21*100,нет)</f>
        <v>нет</v>
      </c>
      <c r="AO21" s="399" t="str">
        <f t="array" ref="AO21">IF(SUM($I21:$J21)&lt;&gt;0,SUM(($L21:$Z21)*($L$12:$Z$12=AO$12))/SUM($I21:$J21)*100,нет)</f>
        <v>нет</v>
      </c>
      <c r="AP21" s="1308" t="str">
        <f t="array" ref="AP21">IF(K21&lt;&gt;0,SUM(($L21:$Z21)*($L$12:$Z$12=AP$12))/K21*100,нет)</f>
        <v>нет</v>
      </c>
      <c r="AQ21" s="1372">
        <f t="array" ref="AQ21">SUM(($L21:$Z21)*($L$12:$Z$12=AQ$12))</f>
        <v>0</v>
      </c>
      <c r="AR21" s="742">
        <f t="array" ref="AR21">SUM(($L21:$Z21)*($L$12:$Z$12=AR$12))</f>
        <v>0</v>
      </c>
      <c r="AS21" s="742">
        <f t="array" ref="AS21">SUM(($L21:$Z21)*($L$12:$Z$12=AS$12))</f>
        <v>0</v>
      </c>
      <c r="AT21" s="1373">
        <f t="array" ref="AT21">SUM(($L21:$Z21)*($L$12:$Z$12=AT$12))</f>
        <v>0</v>
      </c>
      <c r="AU21" s="376"/>
      <c r="AV21" s="376"/>
      <c r="AW21" s="376"/>
      <c r="AY21" s="262"/>
    </row>
    <row r="22" spans="1:66" x14ac:dyDescent="0.2">
      <c r="A22" s="551" t="str">
        <f>IF(LEN(КАФЕДРА!A22)&gt;2,КАФЕДРА!A22,"")</f>
        <v>Анестезиологии и реаниматологии с курсом ДПО</v>
      </c>
      <c r="B22" s="960" t="str">
        <f>IF(LEN(КАФЕДРА!B22)&gt;2,КАФЕДРА!B22,"")</f>
        <v>Заведующий кафедрой</v>
      </c>
      <c r="C22" s="442">
        <f>IF(LEN(КАФЕДРА!$A22)&gt;2,КАФЕДРА!C22,0)</f>
        <v>0</v>
      </c>
      <c r="D22" s="1367" t="str">
        <f t="shared" si="5"/>
        <v>нет</v>
      </c>
      <c r="E22" s="719">
        <f t="shared" si="6"/>
        <v>0</v>
      </c>
      <c r="F22" s="399">
        <f t="array" ref="F22">SUM(($L22:$Z22)*($L$11:$Z$11))</f>
        <v>0</v>
      </c>
      <c r="G22" s="1870"/>
      <c r="H22" s="1894"/>
      <c r="I22" s="1866"/>
      <c r="J22" s="1394"/>
      <c r="K22" s="1368"/>
      <c r="L22" s="1877"/>
      <c r="M22" s="1876"/>
      <c r="N22" s="1878"/>
      <c r="O22" s="1369"/>
      <c r="P22" s="1399"/>
      <c r="Q22" s="1394"/>
      <c r="R22" s="1394"/>
      <c r="S22" s="1886"/>
      <c r="T22" s="1370"/>
      <c r="U22" s="1371"/>
      <c r="V22" s="1371"/>
      <c r="W22" s="1371"/>
      <c r="X22" s="1371"/>
      <c r="Y22" s="1371"/>
      <c r="Z22" s="1368"/>
      <c r="AA22" s="1372">
        <f t="array" ref="AA22">SUM(($L22:$Z22)*($L$11:$Z$11)*($L$12:$Z$12=AA$12))</f>
        <v>0</v>
      </c>
      <c r="AB22" s="742">
        <f t="array" ref="AB22">SUM(($L22:$Z22)*($L$11:$Z$11)*($L$12:$Z$12=AB$12))</f>
        <v>0</v>
      </c>
      <c r="AC22" s="742">
        <f t="array" ref="AC22">SUM(($L22:$Z22)*($L$11:$Z$11)*($L$12:$Z$12=AC$12))</f>
        <v>0</v>
      </c>
      <c r="AD22" s="1373">
        <f t="array" ref="AD22">SUM(($L22:$Z22)*($L$11:$Z$11)*($L$12:$Z$12=AD$12))</f>
        <v>0</v>
      </c>
      <c r="AE22" s="1374" t="e">
        <f t="shared" si="1"/>
        <v>#DIV/0!</v>
      </c>
      <c r="AF22" s="399" t="e">
        <f t="shared" si="2"/>
        <v>#DIV/0!</v>
      </c>
      <c r="AG22" s="399" t="e">
        <f t="shared" si="3"/>
        <v>#DIV/0!</v>
      </c>
      <c r="AH22" s="1308" t="e">
        <f t="shared" si="4"/>
        <v>#DIV/0!</v>
      </c>
      <c r="AI22" s="1374">
        <f t="array" ref="AI22">IF(SUM(($L22:$Z22)*($L$11:$Z$11)*($L$12:$Z$12=AI$12))&gt;0,100,0)</f>
        <v>0</v>
      </c>
      <c r="AJ22" s="399">
        <f t="array" ref="AJ22">IF(SUM(($L22:$Z22)*($L$11:$Z$11)*($L$12:$Z$12=AJ$12))&gt;0,100,0)</f>
        <v>0</v>
      </c>
      <c r="AK22" s="399">
        <f t="array" ref="AK22">IF(SUM(($L22:$Z22)*($L$11:$Z$11)*($L$12:$Z$12=AK$12))&gt;0,100,0)</f>
        <v>0</v>
      </c>
      <c r="AL22" s="1308">
        <f t="array" ref="AL22">IF(SUM(($L22:$Z22)*($L$11:$Z$11)*($L$12:$Z$12=AL$12))&gt;0,100,0)</f>
        <v>0</v>
      </c>
      <c r="AM22" s="1374" t="str">
        <f t="array" ref="AM22">IF(G22&lt;&gt;0,SUM(($L22:$Z22)*($L$12:$Z$12=AM$12))/G22*100,нет)</f>
        <v>нет</v>
      </c>
      <c r="AN22" s="399" t="str">
        <f t="array" ref="AN22">IF(H22&lt;&gt;0,SUM(($L22:$Z22)*($L$12:$Z$12=AN$12))/H22*100,нет)</f>
        <v>нет</v>
      </c>
      <c r="AO22" s="399" t="str">
        <f t="array" ref="AO22">IF(SUM($I22:$J22)&lt;&gt;0,SUM(($L22:$Z22)*($L$12:$Z$12=AO$12))/SUM($I22:$J22)*100,нет)</f>
        <v>нет</v>
      </c>
      <c r="AP22" s="1308" t="str">
        <f t="array" ref="AP22">IF(K22&lt;&gt;0,SUM(($L22:$Z22)*($L$12:$Z$12=AP$12))/K22*100,нет)</f>
        <v>нет</v>
      </c>
      <c r="AQ22" s="1372">
        <f t="array" ref="AQ22">SUM(($L22:$Z22)*($L$12:$Z$12=AQ$12))</f>
        <v>0</v>
      </c>
      <c r="AR22" s="742">
        <f t="array" ref="AR22">SUM(($L22:$Z22)*($L$12:$Z$12=AR$12))</f>
        <v>0</v>
      </c>
      <c r="AS22" s="742">
        <f t="array" ref="AS22">SUM(($L22:$Z22)*($L$12:$Z$12=AS$12))</f>
        <v>0</v>
      </c>
      <c r="AT22" s="1373">
        <f t="array" ref="AT22">SUM(($L22:$Z22)*($L$12:$Z$12=AT$12))</f>
        <v>0</v>
      </c>
      <c r="AU22" s="376"/>
      <c r="AV22" s="376"/>
      <c r="AW22" s="376"/>
      <c r="AY22" s="262"/>
    </row>
    <row r="23" spans="1:66" x14ac:dyDescent="0.2">
      <c r="A23" s="551" t="str">
        <f>IF(LEN(КАФЕДРА!A23)&gt;2,КАФЕДРА!A23,"")</f>
        <v>Госпитальной терапии и эндокринологии</v>
      </c>
      <c r="B23" s="960" t="str">
        <f>IF(LEN(КАФЕДРА!B23)&gt;2,КАФЕДРА!B23,"")</f>
        <v>Заведующий кафедрой</v>
      </c>
      <c r="C23" s="442">
        <f>IF(LEN(КАФЕДРА!$A23)&gt;2,КАФЕДРА!C23,0)</f>
        <v>0</v>
      </c>
      <c r="D23" s="1367" t="str">
        <f t="shared" si="5"/>
        <v>нет</v>
      </c>
      <c r="E23" s="719">
        <f t="shared" si="6"/>
        <v>0</v>
      </c>
      <c r="F23" s="399">
        <f t="array" ref="F23">SUM(($L23:$Z23)*($L$11:$Z$11))</f>
        <v>0</v>
      </c>
      <c r="G23" s="1870"/>
      <c r="H23" s="1894"/>
      <c r="I23" s="1866"/>
      <c r="J23" s="1394"/>
      <c r="K23" s="1368"/>
      <c r="L23" s="1877"/>
      <c r="M23" s="1876"/>
      <c r="N23" s="1878"/>
      <c r="O23" s="1369"/>
      <c r="P23" s="1399"/>
      <c r="Q23" s="1394"/>
      <c r="R23" s="1394"/>
      <c r="S23" s="1886"/>
      <c r="T23" s="1370"/>
      <c r="U23" s="1371"/>
      <c r="V23" s="1371"/>
      <c r="W23" s="1371"/>
      <c r="X23" s="1371"/>
      <c r="Y23" s="1371"/>
      <c r="Z23" s="1368"/>
      <c r="AA23" s="1372">
        <f t="array" ref="AA23">SUM(($L23:$Z23)*($L$11:$Z$11)*($L$12:$Z$12=AA$12))</f>
        <v>0</v>
      </c>
      <c r="AB23" s="742">
        <f t="array" ref="AB23">SUM(($L23:$Z23)*($L$11:$Z$11)*($L$12:$Z$12=AB$12))</f>
        <v>0</v>
      </c>
      <c r="AC23" s="742">
        <f t="array" ref="AC23">SUM(($L23:$Z23)*($L$11:$Z$11)*($L$12:$Z$12=AC$12))</f>
        <v>0</v>
      </c>
      <c r="AD23" s="1373">
        <f t="array" ref="AD23">SUM(($L23:$Z23)*($L$11:$Z$11)*($L$12:$Z$12=AD$12))</f>
        <v>0</v>
      </c>
      <c r="AE23" s="1374" t="e">
        <f t="shared" si="1"/>
        <v>#DIV/0!</v>
      </c>
      <c r="AF23" s="399" t="e">
        <f t="shared" si="2"/>
        <v>#DIV/0!</v>
      </c>
      <c r="AG23" s="399" t="e">
        <f t="shared" si="3"/>
        <v>#DIV/0!</v>
      </c>
      <c r="AH23" s="1308" t="e">
        <f t="shared" si="4"/>
        <v>#DIV/0!</v>
      </c>
      <c r="AI23" s="1374">
        <f t="array" ref="AI23">IF(SUM(($L23:$Z23)*($L$11:$Z$11)*($L$12:$Z$12=AI$12))&gt;0,100,0)</f>
        <v>0</v>
      </c>
      <c r="AJ23" s="399">
        <f t="array" ref="AJ23">IF(SUM(($L23:$Z23)*($L$11:$Z$11)*($L$12:$Z$12=AJ$12))&gt;0,100,0)</f>
        <v>0</v>
      </c>
      <c r="AK23" s="399">
        <f t="array" ref="AK23">IF(SUM(($L23:$Z23)*($L$11:$Z$11)*($L$12:$Z$12=AK$12))&gt;0,100,0)</f>
        <v>0</v>
      </c>
      <c r="AL23" s="1308">
        <f t="array" ref="AL23">IF(SUM(($L23:$Z23)*($L$11:$Z$11)*($L$12:$Z$12=AL$12))&gt;0,100,0)</f>
        <v>0</v>
      </c>
      <c r="AM23" s="1374" t="str">
        <f t="array" ref="AM23">IF(G23&lt;&gt;0,SUM(($L23:$Z23)*($L$12:$Z$12=AM$12))/G23*100,нет)</f>
        <v>нет</v>
      </c>
      <c r="AN23" s="399" t="str">
        <f t="array" ref="AN23">IF(H23&lt;&gt;0,SUM(($L23:$Z23)*($L$12:$Z$12=AN$12))/H23*100,нет)</f>
        <v>нет</v>
      </c>
      <c r="AO23" s="399" t="str">
        <f t="array" ref="AO23">IF(SUM($I23:$J23)&lt;&gt;0,SUM(($L23:$Z23)*($L$12:$Z$12=AO$12))/SUM($I23:$J23)*100,нет)</f>
        <v>нет</v>
      </c>
      <c r="AP23" s="1308" t="str">
        <f t="array" ref="AP23">IF(K23&lt;&gt;0,SUM(($L23:$Z23)*($L$12:$Z$12=AP$12))/K23*100,нет)</f>
        <v>нет</v>
      </c>
      <c r="AQ23" s="1372">
        <f t="array" ref="AQ23">SUM(($L23:$Z23)*($L$12:$Z$12=AQ$12))</f>
        <v>0</v>
      </c>
      <c r="AR23" s="742">
        <f t="array" ref="AR23">SUM(($L23:$Z23)*($L$12:$Z$12=AR$12))</f>
        <v>0</v>
      </c>
      <c r="AS23" s="742">
        <f t="array" ref="AS23">SUM(($L23:$Z23)*($L$12:$Z$12=AS$12))</f>
        <v>0</v>
      </c>
      <c r="AT23" s="1373">
        <f t="array" ref="AT23">SUM(($L23:$Z23)*($L$12:$Z$12=AT$12))</f>
        <v>0</v>
      </c>
      <c r="AU23" s="376"/>
      <c r="AV23" s="376"/>
      <c r="AW23" s="376"/>
      <c r="AY23" s="262"/>
    </row>
    <row r="24" spans="1:66" x14ac:dyDescent="0.2">
      <c r="A24" s="551" t="str">
        <f>IF(LEN(КАФЕДРА!A24)&gt;2,КАФЕДРА!A24,"")</f>
        <v>Госпитальной хирургии</v>
      </c>
      <c r="B24" s="960" t="str">
        <f>IF(LEN(КАФЕДРА!B24)&gt;2,КАФЕДРА!B24,"")</f>
        <v>Заведующий кафедрой</v>
      </c>
      <c r="C24" s="442">
        <f>IF(LEN(КАФЕДРА!$A24)&gt;2,КАФЕДРА!C24,0)</f>
        <v>0</v>
      </c>
      <c r="D24" s="1367" t="str">
        <f t="shared" si="5"/>
        <v>нет</v>
      </c>
      <c r="E24" s="719">
        <f t="shared" si="6"/>
        <v>0</v>
      </c>
      <c r="F24" s="399">
        <f t="array" ref="F24">SUM(($L24:$Z24)*($L$11:$Z$11))</f>
        <v>0</v>
      </c>
      <c r="G24" s="1870"/>
      <c r="H24" s="1894"/>
      <c r="I24" s="1866"/>
      <c r="J24" s="1394"/>
      <c r="K24" s="1368"/>
      <c r="L24" s="1877"/>
      <c r="M24" s="1876"/>
      <c r="N24" s="1878"/>
      <c r="O24" s="1369"/>
      <c r="P24" s="1399"/>
      <c r="Q24" s="1394"/>
      <c r="R24" s="1394"/>
      <c r="S24" s="1886"/>
      <c r="T24" s="1370"/>
      <c r="U24" s="1371"/>
      <c r="V24" s="1371"/>
      <c r="W24" s="1371"/>
      <c r="X24" s="1371"/>
      <c r="Y24" s="1371"/>
      <c r="Z24" s="1368"/>
      <c r="AA24" s="1372">
        <f t="array" ref="AA24">SUM(($L24:$Z24)*($L$11:$Z$11)*($L$12:$Z$12=AA$12))</f>
        <v>0</v>
      </c>
      <c r="AB24" s="742">
        <f t="array" ref="AB24">SUM(($L24:$Z24)*($L$11:$Z$11)*($L$12:$Z$12=AB$12))</f>
        <v>0</v>
      </c>
      <c r="AC24" s="742">
        <f t="array" ref="AC24">SUM(($L24:$Z24)*($L$11:$Z$11)*($L$12:$Z$12=AC$12))</f>
        <v>0</v>
      </c>
      <c r="AD24" s="1373">
        <f t="array" ref="AD24">SUM(($L24:$Z24)*($L$11:$Z$11)*($L$12:$Z$12=AD$12))</f>
        <v>0</v>
      </c>
      <c r="AE24" s="1374" t="e">
        <f t="shared" si="1"/>
        <v>#DIV/0!</v>
      </c>
      <c r="AF24" s="399" t="e">
        <f t="shared" si="2"/>
        <v>#DIV/0!</v>
      </c>
      <c r="AG24" s="399" t="e">
        <f t="shared" si="3"/>
        <v>#DIV/0!</v>
      </c>
      <c r="AH24" s="1308" t="e">
        <f t="shared" ref="AH24:AH75" si="7">AD24/$C24</f>
        <v>#DIV/0!</v>
      </c>
      <c r="AI24" s="1374">
        <f t="array" ref="AI24">IF(SUM(($L24:$Z24)*($L$11:$Z$11)*($L$12:$Z$12=AI$12))&gt;0,100,0)</f>
        <v>0</v>
      </c>
      <c r="AJ24" s="399">
        <f t="array" ref="AJ24">IF(SUM(($L24:$Z24)*($L$11:$Z$11)*($L$12:$Z$12=AJ$12))&gt;0,100,0)</f>
        <v>0</v>
      </c>
      <c r="AK24" s="399">
        <f t="array" ref="AK24">IF(SUM(($L24:$Z24)*($L$11:$Z$11)*($L$12:$Z$12=AK$12))&gt;0,100,0)</f>
        <v>0</v>
      </c>
      <c r="AL24" s="1308">
        <f t="array" ref="AL24">IF(SUM(($L24:$Z24)*($L$11:$Z$11)*($L$12:$Z$12=AL$12))&gt;0,100,0)</f>
        <v>0</v>
      </c>
      <c r="AM24" s="1374" t="str">
        <f t="array" ref="AM24">IF(G24&lt;&gt;0,SUM(($L24:$Z24)*($L$12:$Z$12=AM$12))/G24*100,нет)</f>
        <v>нет</v>
      </c>
      <c r="AN24" s="399" t="str">
        <f t="array" ref="AN24">IF(H24&lt;&gt;0,SUM(($L24:$Z24)*($L$12:$Z$12=AN$12))/H24*100,нет)</f>
        <v>нет</v>
      </c>
      <c r="AO24" s="399" t="str">
        <f t="array" ref="AO24">IF(SUM($I24:$J24)&lt;&gt;0,SUM(($L24:$Z24)*($L$12:$Z$12=AO$12))/SUM($I24:$J24)*100,нет)</f>
        <v>нет</v>
      </c>
      <c r="AP24" s="1308" t="str">
        <f t="array" ref="AP24">IF(K24&lt;&gt;0,SUM(($L24:$Z24)*($L$12:$Z$12=AP$12))/K24*100,нет)</f>
        <v>нет</v>
      </c>
      <c r="AQ24" s="1372">
        <f t="array" ref="AQ24">SUM(($L24:$Z24)*($L$12:$Z$12=AQ$12))</f>
        <v>0</v>
      </c>
      <c r="AR24" s="742">
        <f t="array" ref="AR24">SUM(($L24:$Z24)*($L$12:$Z$12=AR$12))</f>
        <v>0</v>
      </c>
      <c r="AS24" s="742">
        <f t="array" ref="AS24">SUM(($L24:$Z24)*($L$12:$Z$12=AS$12))</f>
        <v>0</v>
      </c>
      <c r="AT24" s="1373">
        <f t="array" ref="AT24">SUM(($L24:$Z24)*($L$12:$Z$12=AT$12))</f>
        <v>0</v>
      </c>
      <c r="AU24" s="376"/>
      <c r="AV24" s="376"/>
      <c r="AW24" s="376"/>
      <c r="AY24" s="262"/>
    </row>
    <row r="25" spans="1:66" x14ac:dyDescent="0.2">
      <c r="A25" s="551" t="str">
        <f>IF(LEN(КАФЕДРА!A25)&gt;2,КАФЕДРА!A25,"")</f>
        <v>Неврологии и Нейрохирургии с курсом ДПО</v>
      </c>
      <c r="B25" s="960" t="str">
        <f>IF(LEN(КАФЕДРА!B25)&gt;2,КАФЕДРА!B25,"")</f>
        <v>Заведующий кафедрой</v>
      </c>
      <c r="C25" s="442">
        <f>IF(LEN(КАФЕДРА!$A25)&gt;2,КАФЕДРА!C25,0)</f>
        <v>0</v>
      </c>
      <c r="D25" s="1367" t="str">
        <f t="shared" si="5"/>
        <v>нет</v>
      </c>
      <c r="E25" s="719">
        <f>IF($C25=0,0,$F25/$C25)</f>
        <v>0</v>
      </c>
      <c r="F25" s="399">
        <f t="array" ref="F25">SUM(($L25:$Z25)*($L$11:$Z$11))</f>
        <v>0</v>
      </c>
      <c r="G25" s="1870"/>
      <c r="H25" s="1894"/>
      <c r="I25" s="1866"/>
      <c r="J25" s="1394"/>
      <c r="K25" s="1368"/>
      <c r="L25" s="1877"/>
      <c r="M25" s="1876"/>
      <c r="N25" s="1878"/>
      <c r="O25" s="1369"/>
      <c r="P25" s="1399"/>
      <c r="Q25" s="1394"/>
      <c r="R25" s="1394"/>
      <c r="S25" s="1886"/>
      <c r="T25" s="1370"/>
      <c r="U25" s="1371"/>
      <c r="V25" s="1371"/>
      <c r="W25" s="1371"/>
      <c r="X25" s="1371"/>
      <c r="Y25" s="1371"/>
      <c r="Z25" s="1368"/>
      <c r="AA25" s="1372">
        <f t="array" ref="AA25">SUM(($L25:$Z25)*($L$11:$Z$11)*($L$12:$Z$12=AA$12))</f>
        <v>0</v>
      </c>
      <c r="AB25" s="742">
        <f t="array" ref="AB25">SUM(($L25:$Z25)*($L$11:$Z$11)*($L$12:$Z$12=AB$12))</f>
        <v>0</v>
      </c>
      <c r="AC25" s="742">
        <f t="array" ref="AC25">SUM(($L25:$Z25)*($L$11:$Z$11)*($L$12:$Z$12=AC$12))</f>
        <v>0</v>
      </c>
      <c r="AD25" s="1373">
        <f t="array" ref="AD25">SUM(($L25:$Z25)*($L$11:$Z$11)*($L$12:$Z$12=AD$12))</f>
        <v>0</v>
      </c>
      <c r="AE25" s="1374" t="e">
        <f t="shared" si="1"/>
        <v>#DIV/0!</v>
      </c>
      <c r="AF25" s="399" t="e">
        <f t="shared" si="2"/>
        <v>#DIV/0!</v>
      </c>
      <c r="AG25" s="399" t="e">
        <f t="shared" si="3"/>
        <v>#DIV/0!</v>
      </c>
      <c r="AH25" s="1308" t="e">
        <f t="shared" si="7"/>
        <v>#DIV/0!</v>
      </c>
      <c r="AI25" s="1374">
        <f t="array" ref="AI25">IF(SUM(($L25:$Z25)*($L$11:$Z$11)*($L$12:$Z$12=AI$12))&gt;0,100,0)</f>
        <v>0</v>
      </c>
      <c r="AJ25" s="399">
        <f t="array" ref="AJ25">IF(SUM(($L25:$Z25)*($L$11:$Z$11)*($L$12:$Z$12=AJ$12))&gt;0,100,0)</f>
        <v>0</v>
      </c>
      <c r="AK25" s="399">
        <f t="array" ref="AK25">IF(SUM(($L25:$Z25)*($L$11:$Z$11)*($L$12:$Z$12=AK$12))&gt;0,100,0)</f>
        <v>0</v>
      </c>
      <c r="AL25" s="1308">
        <f t="array" ref="AL25">IF(SUM(($L25:$Z25)*($L$11:$Z$11)*($L$12:$Z$12=AL$12))&gt;0,100,0)</f>
        <v>0</v>
      </c>
      <c r="AM25" s="1374" t="str">
        <f t="array" ref="AM25">IF(G25&lt;&gt;0,SUM(($L25:$Z25)*($L$12:$Z$12=AM$12))/G25*100,нет)</f>
        <v>нет</v>
      </c>
      <c r="AN25" s="399" t="str">
        <f t="array" ref="AN25">IF(H25&lt;&gt;0,SUM(($L25:$Z25)*($L$12:$Z$12=AN$12))/H25*100,нет)</f>
        <v>нет</v>
      </c>
      <c r="AO25" s="399" t="str">
        <f t="array" ref="AO25">IF(SUM($I25:$J25)&lt;&gt;0,SUM(($L25:$Z25)*($L$12:$Z$12=AO$12))/SUM($I25:$J25)*100,нет)</f>
        <v>нет</v>
      </c>
      <c r="AP25" s="1308" t="str">
        <f t="array" ref="AP25">IF(K25&lt;&gt;0,SUM(($L25:$Z25)*($L$12:$Z$12=AP$12))/K25*100,нет)</f>
        <v>нет</v>
      </c>
      <c r="AQ25" s="1372">
        <f t="array" ref="AQ25">SUM(($L25:$Z25)*($L$12:$Z$12=AQ$12))</f>
        <v>0</v>
      </c>
      <c r="AR25" s="742">
        <f t="array" ref="AR25">SUM(($L25:$Z25)*($L$12:$Z$12=AR$12))</f>
        <v>0</v>
      </c>
      <c r="AS25" s="742">
        <f t="array" ref="AS25">SUM(($L25:$Z25)*($L$12:$Z$12=AS$12))</f>
        <v>0</v>
      </c>
      <c r="AT25" s="1373">
        <f t="array" ref="AT25">SUM(($L25:$Z25)*($L$12:$Z$12=AT$12))</f>
        <v>0</v>
      </c>
      <c r="AU25" s="376"/>
      <c r="AV25" s="376"/>
      <c r="AW25" s="376"/>
      <c r="AY25" s="262"/>
    </row>
    <row r="26" spans="1:66" x14ac:dyDescent="0.2">
      <c r="A26" s="551" t="str">
        <f>IF(LEN(КАФЕДРА!A26)&gt;2,КАФЕДРА!A26,"")</f>
        <v>Нормальной физиологии</v>
      </c>
      <c r="B26" s="960" t="str">
        <f>IF(LEN(КАФЕДРА!B26)&gt;2,КАФЕДРА!B26,"")</f>
        <v>Заведующий кафедрой</v>
      </c>
      <c r="C26" s="442">
        <f>IF(LEN(КАФЕДРА!$A26)&gt;2,КАФЕДРА!C26,0)</f>
        <v>0</v>
      </c>
      <c r="D26" s="1367" t="str">
        <f t="shared" si="5"/>
        <v>нет</v>
      </c>
      <c r="E26" s="719">
        <f>IF($C26=0,0,$F26/$C26)</f>
        <v>0</v>
      </c>
      <c r="F26" s="399">
        <f t="array" ref="F26">SUM(($L26:$Z26)*($L$11:$Z$11))</f>
        <v>0</v>
      </c>
      <c r="G26" s="1870"/>
      <c r="H26" s="1894"/>
      <c r="I26" s="1866"/>
      <c r="J26" s="1394"/>
      <c r="K26" s="1368"/>
      <c r="L26" s="1877"/>
      <c r="M26" s="1876"/>
      <c r="N26" s="1878"/>
      <c r="O26" s="1369"/>
      <c r="P26" s="1399"/>
      <c r="Q26" s="1394"/>
      <c r="R26" s="1394"/>
      <c r="S26" s="1886"/>
      <c r="T26" s="1370"/>
      <c r="U26" s="1371"/>
      <c r="V26" s="1371"/>
      <c r="W26" s="1371"/>
      <c r="X26" s="1371"/>
      <c r="Y26" s="1371"/>
      <c r="Z26" s="1368"/>
      <c r="AA26" s="1372">
        <f t="array" ref="AA26">SUM(($L26:$Z26)*($L$11:$Z$11)*($L$12:$Z$12=AA$12))</f>
        <v>0</v>
      </c>
      <c r="AB26" s="742">
        <f t="array" ref="AB26">SUM(($L26:$Z26)*($L$11:$Z$11)*($L$12:$Z$12=AB$12))</f>
        <v>0</v>
      </c>
      <c r="AC26" s="742">
        <f t="array" ref="AC26">SUM(($L26:$Z26)*($L$11:$Z$11)*($L$12:$Z$12=AC$12))</f>
        <v>0</v>
      </c>
      <c r="AD26" s="1373">
        <f t="array" ref="AD26">SUM(($L26:$Z26)*($L$11:$Z$11)*($L$12:$Z$12=AD$12))</f>
        <v>0</v>
      </c>
      <c r="AE26" s="1374" t="e">
        <f t="shared" si="1"/>
        <v>#DIV/0!</v>
      </c>
      <c r="AF26" s="399" t="e">
        <f t="shared" si="2"/>
        <v>#DIV/0!</v>
      </c>
      <c r="AG26" s="399" t="e">
        <f t="shared" si="3"/>
        <v>#DIV/0!</v>
      </c>
      <c r="AH26" s="1308" t="e">
        <f t="shared" si="7"/>
        <v>#DIV/0!</v>
      </c>
      <c r="AI26" s="1374">
        <f t="array" ref="AI26">IF(SUM(($L26:$Z26)*($L$11:$Z$11)*($L$12:$Z$12=AI$12))&gt;0,100,0)</f>
        <v>0</v>
      </c>
      <c r="AJ26" s="399">
        <f t="array" ref="AJ26">IF(SUM(($L26:$Z26)*($L$11:$Z$11)*($L$12:$Z$12=AJ$12))&gt;0,100,0)</f>
        <v>0</v>
      </c>
      <c r="AK26" s="399">
        <f t="array" ref="AK26">IF(SUM(($L26:$Z26)*($L$11:$Z$11)*($L$12:$Z$12=AK$12))&gt;0,100,0)</f>
        <v>0</v>
      </c>
      <c r="AL26" s="1308">
        <f t="array" ref="AL26">IF(SUM(($L26:$Z26)*($L$11:$Z$11)*($L$12:$Z$12=AL$12))&gt;0,100,0)</f>
        <v>0</v>
      </c>
      <c r="AM26" s="1374" t="str">
        <f t="array" ref="AM26">IF(G26&lt;&gt;0,SUM(($L26:$Z26)*($L$12:$Z$12=AM$12))/G26*100,нет)</f>
        <v>нет</v>
      </c>
      <c r="AN26" s="399" t="str">
        <f t="array" ref="AN26">IF(H26&lt;&gt;0,SUM(($L26:$Z26)*($L$12:$Z$12=AN$12))/H26*100,нет)</f>
        <v>нет</v>
      </c>
      <c r="AO26" s="399" t="str">
        <f t="array" ref="AO26">IF(SUM($I26:$J26)&lt;&gt;0,SUM(($L26:$Z26)*($L$12:$Z$12=AO$12))/SUM($I26:$J26)*100,нет)</f>
        <v>нет</v>
      </c>
      <c r="AP26" s="1308" t="str">
        <f t="array" ref="AP26">IF(K26&lt;&gt;0,SUM(($L26:$Z26)*($L$12:$Z$12=AP$12))/K26*100,нет)</f>
        <v>нет</v>
      </c>
      <c r="AQ26" s="1372">
        <f t="array" ref="AQ26">SUM(($L26:$Z26)*($L$12:$Z$12=AQ$12))</f>
        <v>0</v>
      </c>
      <c r="AR26" s="742">
        <f t="array" ref="AR26">SUM(($L26:$Z26)*($L$12:$Z$12=AR$12))</f>
        <v>0</v>
      </c>
      <c r="AS26" s="742">
        <f t="array" ref="AS26">SUM(($L26:$Z26)*($L$12:$Z$12=AS$12))</f>
        <v>0</v>
      </c>
      <c r="AT26" s="1373">
        <f t="array" ref="AT26">SUM(($L26:$Z26)*($L$12:$Z$12=AT$12))</f>
        <v>0</v>
      </c>
      <c r="AU26" s="376"/>
      <c r="AV26" s="376"/>
      <c r="AW26" s="376"/>
      <c r="AY26" s="262"/>
    </row>
    <row r="27" spans="1:66" x14ac:dyDescent="0.2">
      <c r="A27" s="551" t="str">
        <f>IF(LEN(КАФЕДРА!A27)&gt;2,КАФЕДРА!A27,"")</f>
        <v>Общей хирургии, оперативной хирургии и топографической анатомии</v>
      </c>
      <c r="B27" s="960" t="str">
        <f>IF(LEN(КАФЕДРА!B27)&gt;2,КАФЕДРА!B27,"")</f>
        <v>Заведующий кафедрой</v>
      </c>
      <c r="C27" s="442">
        <f>IF(LEN(КАФЕДРА!$A27)&gt;2,КАФЕДРА!C27,0)</f>
        <v>0</v>
      </c>
      <c r="D27" s="1367" t="str">
        <f t="shared" si="5"/>
        <v>нет</v>
      </c>
      <c r="E27" s="719">
        <f t="shared" si="6"/>
        <v>0</v>
      </c>
      <c r="F27" s="399">
        <f t="array" ref="F27">SUM(($L27:$Z27)*($L$11:$Z$11))</f>
        <v>0</v>
      </c>
      <c r="G27" s="1870"/>
      <c r="H27" s="1894"/>
      <c r="I27" s="1866"/>
      <c r="J27" s="1394"/>
      <c r="K27" s="1368"/>
      <c r="L27" s="1877"/>
      <c r="M27" s="1876"/>
      <c r="N27" s="1878"/>
      <c r="O27" s="1369"/>
      <c r="P27" s="1399"/>
      <c r="Q27" s="1394"/>
      <c r="R27" s="1394"/>
      <c r="S27" s="1886"/>
      <c r="T27" s="1370"/>
      <c r="U27" s="1371"/>
      <c r="V27" s="1371"/>
      <c r="W27" s="1371"/>
      <c r="X27" s="1371"/>
      <c r="Y27" s="1371"/>
      <c r="Z27" s="1368"/>
      <c r="AA27" s="1372">
        <f t="array" ref="AA27">SUM(($L27:$Z27)*($L$11:$Z$11)*($L$12:$Z$12=AA$12))</f>
        <v>0</v>
      </c>
      <c r="AB27" s="742">
        <f t="array" ref="AB27">SUM(($L27:$Z27)*($L$11:$Z$11)*($L$12:$Z$12=AB$12))</f>
        <v>0</v>
      </c>
      <c r="AC27" s="742">
        <f t="array" ref="AC27">SUM(($L27:$Z27)*($L$11:$Z$11)*($L$12:$Z$12=AC$12))</f>
        <v>0</v>
      </c>
      <c r="AD27" s="1373">
        <f t="array" ref="AD27">SUM(($L27:$Z27)*($L$11:$Z$11)*($L$12:$Z$12=AD$12))</f>
        <v>0</v>
      </c>
      <c r="AE27" s="1374" t="e">
        <f t="shared" si="1"/>
        <v>#DIV/0!</v>
      </c>
      <c r="AF27" s="399" t="e">
        <f t="shared" si="2"/>
        <v>#DIV/0!</v>
      </c>
      <c r="AG27" s="399" t="e">
        <f t="shared" si="3"/>
        <v>#DIV/0!</v>
      </c>
      <c r="AH27" s="1308" t="e">
        <f t="shared" si="7"/>
        <v>#DIV/0!</v>
      </c>
      <c r="AI27" s="1374">
        <f t="array" ref="AI27">IF(SUM(($L27:$Z27)*($L$11:$Z$11)*($L$12:$Z$12=AI$12))&gt;0,100,0)</f>
        <v>0</v>
      </c>
      <c r="AJ27" s="399">
        <f t="array" ref="AJ27">IF(SUM(($L27:$Z27)*($L$11:$Z$11)*($L$12:$Z$12=AJ$12))&gt;0,100,0)</f>
        <v>0</v>
      </c>
      <c r="AK27" s="399">
        <f t="array" ref="AK27">IF(SUM(($L27:$Z27)*($L$11:$Z$11)*($L$12:$Z$12=AK$12))&gt;0,100,0)</f>
        <v>0</v>
      </c>
      <c r="AL27" s="1308">
        <f t="array" ref="AL27">IF(SUM(($L27:$Z27)*($L$11:$Z$11)*($L$12:$Z$12=AL$12))&gt;0,100,0)</f>
        <v>0</v>
      </c>
      <c r="AM27" s="1374" t="str">
        <f t="array" ref="AM27">IF(G27&lt;&gt;0,SUM(($L27:$Z27)*($L$12:$Z$12=AM$12))/G27*100,нет)</f>
        <v>нет</v>
      </c>
      <c r="AN27" s="399" t="str">
        <f t="array" ref="AN27">IF(H27&lt;&gt;0,SUM(($L27:$Z27)*($L$12:$Z$12=AN$12))/H27*100,нет)</f>
        <v>нет</v>
      </c>
      <c r="AO27" s="399" t="str">
        <f t="array" ref="AO27">IF(SUM($I27:$J27)&lt;&gt;0,SUM(($L27:$Z27)*($L$12:$Z$12=AO$12))/SUM($I27:$J27)*100,нет)</f>
        <v>нет</v>
      </c>
      <c r="AP27" s="1308" t="str">
        <f t="array" ref="AP27">IF(K27&lt;&gt;0,SUM(($L27:$Z27)*($L$12:$Z$12=AP$12))/K27*100,нет)</f>
        <v>нет</v>
      </c>
      <c r="AQ27" s="1372">
        <f t="array" ref="AQ27">SUM(($L27:$Z27)*($L$12:$Z$12=AQ$12))</f>
        <v>0</v>
      </c>
      <c r="AR27" s="742">
        <f t="array" ref="AR27">SUM(($L27:$Z27)*($L$12:$Z$12=AR$12))</f>
        <v>0</v>
      </c>
      <c r="AS27" s="742">
        <f t="array" ref="AS27">SUM(($L27:$Z27)*($L$12:$Z$12=AS$12))</f>
        <v>0</v>
      </c>
      <c r="AT27" s="1373">
        <f t="array" ref="AT27">SUM(($L27:$Z27)*($L$12:$Z$12=AT$12))</f>
        <v>0</v>
      </c>
      <c r="AU27" s="376"/>
      <c r="AV27" s="376"/>
      <c r="AW27" s="376"/>
      <c r="AY27" s="262"/>
    </row>
    <row r="28" spans="1:66" x14ac:dyDescent="0.2">
      <c r="A28" s="551" t="str">
        <f>IF(LEN(КАФЕДРА!A28)&gt;2,КАФЕДРА!A28,"")</f>
        <v>Оториноларингологии с курсом ДПО</v>
      </c>
      <c r="B28" s="960" t="str">
        <f>IF(LEN(КАФЕДРА!B28)&gt;2,КАФЕДРА!B28,"")</f>
        <v>Заведующий кафедрой</v>
      </c>
      <c r="C28" s="442">
        <f>IF(LEN(КАФЕДРА!$A28)&gt;2,КАФЕДРА!C28,0)</f>
        <v>0</v>
      </c>
      <c r="D28" s="1367" t="str">
        <f t="shared" si="5"/>
        <v>нет</v>
      </c>
      <c r="E28" s="719">
        <f t="shared" si="6"/>
        <v>0</v>
      </c>
      <c r="F28" s="399">
        <f t="array" ref="F28">SUM(($L28:$Z28)*($L$11:$Z$11))</f>
        <v>0</v>
      </c>
      <c r="G28" s="1870"/>
      <c r="H28" s="1894"/>
      <c r="I28" s="1866"/>
      <c r="J28" s="1394"/>
      <c r="K28" s="1368"/>
      <c r="L28" s="1877"/>
      <c r="M28" s="1876"/>
      <c r="N28" s="1878"/>
      <c r="O28" s="1369"/>
      <c r="P28" s="1399"/>
      <c r="Q28" s="1394"/>
      <c r="R28" s="1394"/>
      <c r="S28" s="1886"/>
      <c r="T28" s="1370"/>
      <c r="U28" s="1371"/>
      <c r="V28" s="1371"/>
      <c r="W28" s="1371"/>
      <c r="X28" s="1371"/>
      <c r="Y28" s="1371"/>
      <c r="Z28" s="1368"/>
      <c r="AA28" s="1372">
        <f t="array" ref="AA28">SUM(($L28:$Z28)*($L$11:$Z$11)*($L$12:$Z$12=AA$12))</f>
        <v>0</v>
      </c>
      <c r="AB28" s="742">
        <f t="array" ref="AB28">SUM(($L28:$Z28)*($L$11:$Z$11)*($L$12:$Z$12=AB$12))</f>
        <v>0</v>
      </c>
      <c r="AC28" s="742">
        <f t="array" ref="AC28">SUM(($L28:$Z28)*($L$11:$Z$11)*($L$12:$Z$12=AC$12))</f>
        <v>0</v>
      </c>
      <c r="AD28" s="1373">
        <f t="array" ref="AD28">SUM(($L28:$Z28)*($L$11:$Z$11)*($L$12:$Z$12=AD$12))</f>
        <v>0</v>
      </c>
      <c r="AE28" s="1374" t="e">
        <f t="shared" si="1"/>
        <v>#DIV/0!</v>
      </c>
      <c r="AF28" s="399" t="e">
        <f t="shared" si="2"/>
        <v>#DIV/0!</v>
      </c>
      <c r="AG28" s="399" t="e">
        <f t="shared" si="3"/>
        <v>#DIV/0!</v>
      </c>
      <c r="AH28" s="1308" t="e">
        <f t="shared" si="7"/>
        <v>#DIV/0!</v>
      </c>
      <c r="AI28" s="1374">
        <f t="array" ref="AI28">IF(SUM(($L28:$Z28)*($L$11:$Z$11)*($L$12:$Z$12=AI$12))&gt;0,100,0)</f>
        <v>0</v>
      </c>
      <c r="AJ28" s="399">
        <f t="array" ref="AJ28">IF(SUM(($L28:$Z28)*($L$11:$Z$11)*($L$12:$Z$12=AJ$12))&gt;0,100,0)</f>
        <v>0</v>
      </c>
      <c r="AK28" s="399">
        <f t="array" ref="AK28">IF(SUM(($L28:$Z28)*($L$11:$Z$11)*($L$12:$Z$12=AK$12))&gt;0,100,0)</f>
        <v>0</v>
      </c>
      <c r="AL28" s="1308">
        <f t="array" ref="AL28">IF(SUM(($L28:$Z28)*($L$11:$Z$11)*($L$12:$Z$12=AL$12))&gt;0,100,0)</f>
        <v>0</v>
      </c>
      <c r="AM28" s="1374" t="str">
        <f t="array" ref="AM28">IF(G28&lt;&gt;0,SUM(($L28:$Z28)*($L$12:$Z$12=AM$12))/G28*100,нет)</f>
        <v>нет</v>
      </c>
      <c r="AN28" s="399" t="str">
        <f t="array" ref="AN28">IF(H28&lt;&gt;0,SUM(($L28:$Z28)*($L$12:$Z$12=AN$12))/H28*100,нет)</f>
        <v>нет</v>
      </c>
      <c r="AO28" s="399" t="str">
        <f t="array" ref="AO28">IF(SUM($I28:$J28)&lt;&gt;0,SUM(($L28:$Z28)*($L$12:$Z$12=AO$12))/SUM($I28:$J28)*100,нет)</f>
        <v>нет</v>
      </c>
      <c r="AP28" s="1308" t="str">
        <f t="array" ref="AP28">IF(K28&lt;&gt;0,SUM(($L28:$Z28)*($L$12:$Z$12=AP$12))/K28*100,нет)</f>
        <v>нет</v>
      </c>
      <c r="AQ28" s="1372">
        <f t="array" ref="AQ28">SUM(($L28:$Z28)*($L$12:$Z$12=AQ$12))</f>
        <v>0</v>
      </c>
      <c r="AR28" s="742">
        <f t="array" ref="AR28">SUM(($L28:$Z28)*($L$12:$Z$12=AR$12))</f>
        <v>0</v>
      </c>
      <c r="AS28" s="742">
        <f t="array" ref="AS28">SUM(($L28:$Z28)*($L$12:$Z$12=AS$12))</f>
        <v>0</v>
      </c>
      <c r="AT28" s="1373">
        <f t="array" ref="AT28">SUM(($L28:$Z28)*($L$12:$Z$12=AT$12))</f>
        <v>0</v>
      </c>
      <c r="AU28" s="376"/>
      <c r="AV28" s="376"/>
      <c r="AW28" s="376"/>
      <c r="AY28" s="262"/>
    </row>
    <row r="29" spans="1:66" x14ac:dyDescent="0.2">
      <c r="A29" s="551" t="str">
        <f>IF(LEN(КАФЕДРА!A29)&gt;2,КАФЕДРА!A29,"")</f>
        <v>Поликлинической терапии</v>
      </c>
      <c r="B29" s="960" t="str">
        <f>IF(LEN(КАФЕДРА!B29)&gt;2,КАФЕДРА!B29,"")</f>
        <v>Заведующий кафедрой</v>
      </c>
      <c r="C29" s="442">
        <f>IF(LEN(КАФЕДРА!$A29)&gt;2,КАФЕДРА!C29,0)</f>
        <v>0</v>
      </c>
      <c r="D29" s="1367" t="str">
        <f t="shared" si="5"/>
        <v>нет</v>
      </c>
      <c r="E29" s="719">
        <f t="shared" si="6"/>
        <v>0</v>
      </c>
      <c r="F29" s="399">
        <f t="array" ref="F29">SUM(($L29:$Z29)*($L$11:$Z$11))</f>
        <v>0</v>
      </c>
      <c r="G29" s="1870"/>
      <c r="H29" s="1894"/>
      <c r="I29" s="1866"/>
      <c r="J29" s="1394"/>
      <c r="K29" s="1368"/>
      <c r="L29" s="1877"/>
      <c r="M29" s="1876"/>
      <c r="N29" s="1878"/>
      <c r="O29" s="1369"/>
      <c r="P29" s="1399"/>
      <c r="Q29" s="1394"/>
      <c r="R29" s="1394"/>
      <c r="S29" s="1886"/>
      <c r="T29" s="1370"/>
      <c r="U29" s="1371"/>
      <c r="V29" s="1371"/>
      <c r="W29" s="1371"/>
      <c r="X29" s="1371"/>
      <c r="Y29" s="1371"/>
      <c r="Z29" s="1368"/>
      <c r="AA29" s="1372">
        <f t="array" ref="AA29">SUM(($L29:$Z29)*($L$11:$Z$11)*($L$12:$Z$12=AA$12))</f>
        <v>0</v>
      </c>
      <c r="AB29" s="742">
        <f t="array" ref="AB29">SUM(($L29:$Z29)*($L$11:$Z$11)*($L$12:$Z$12=AB$12))</f>
        <v>0</v>
      </c>
      <c r="AC29" s="742">
        <f t="array" ref="AC29">SUM(($L29:$Z29)*($L$11:$Z$11)*($L$12:$Z$12=AC$12))</f>
        <v>0</v>
      </c>
      <c r="AD29" s="1373">
        <f t="array" ref="AD29">SUM(($L29:$Z29)*($L$11:$Z$11)*($L$12:$Z$12=AD$12))</f>
        <v>0</v>
      </c>
      <c r="AE29" s="1374" t="e">
        <f t="shared" si="1"/>
        <v>#DIV/0!</v>
      </c>
      <c r="AF29" s="399" t="e">
        <f t="shared" si="2"/>
        <v>#DIV/0!</v>
      </c>
      <c r="AG29" s="399" t="e">
        <f t="shared" si="3"/>
        <v>#DIV/0!</v>
      </c>
      <c r="AH29" s="1308" t="e">
        <f t="shared" si="7"/>
        <v>#DIV/0!</v>
      </c>
      <c r="AI29" s="1374">
        <f t="array" ref="AI29">IF(SUM(($L29:$Z29)*($L$11:$Z$11)*($L$12:$Z$12=AI$12))&gt;0,100,0)</f>
        <v>0</v>
      </c>
      <c r="AJ29" s="399">
        <f t="array" ref="AJ29">IF(SUM(($L29:$Z29)*($L$11:$Z$11)*($L$12:$Z$12=AJ$12))&gt;0,100,0)</f>
        <v>0</v>
      </c>
      <c r="AK29" s="399">
        <f t="array" ref="AK29">IF(SUM(($L29:$Z29)*($L$11:$Z$11)*($L$12:$Z$12=AK$12))&gt;0,100,0)</f>
        <v>0</v>
      </c>
      <c r="AL29" s="1308">
        <f t="array" ref="AL29">IF(SUM(($L29:$Z29)*($L$11:$Z$11)*($L$12:$Z$12=AL$12))&gt;0,100,0)</f>
        <v>0</v>
      </c>
      <c r="AM29" s="1374" t="str">
        <f t="array" ref="AM29">IF(G29&lt;&gt;0,SUM(($L29:$Z29)*($L$12:$Z$12=AM$12))/G29*100,нет)</f>
        <v>нет</v>
      </c>
      <c r="AN29" s="399" t="str">
        <f t="array" ref="AN29">IF(H29&lt;&gt;0,SUM(($L29:$Z29)*($L$12:$Z$12=AN$12))/H29*100,нет)</f>
        <v>нет</v>
      </c>
      <c r="AO29" s="399" t="str">
        <f t="array" ref="AO29">IF(SUM($I29:$J29)&lt;&gt;0,SUM(($L29:$Z29)*($L$12:$Z$12=AO$12))/SUM($I29:$J29)*100,нет)</f>
        <v>нет</v>
      </c>
      <c r="AP29" s="1308" t="str">
        <f t="array" ref="AP29">IF(K29&lt;&gt;0,SUM(($L29:$Z29)*($L$12:$Z$12=AP$12))/K29*100,нет)</f>
        <v>нет</v>
      </c>
      <c r="AQ29" s="1372">
        <f t="array" ref="AQ29">SUM(($L29:$Z29)*($L$12:$Z$12=AQ$12))</f>
        <v>0</v>
      </c>
      <c r="AR29" s="742">
        <f t="array" ref="AR29">SUM(($L29:$Z29)*($L$12:$Z$12=AR$12))</f>
        <v>0</v>
      </c>
      <c r="AS29" s="742">
        <f t="array" ref="AS29">SUM(($L29:$Z29)*($L$12:$Z$12=AS$12))</f>
        <v>0</v>
      </c>
      <c r="AT29" s="1373">
        <f t="array" ref="AT29">SUM(($L29:$Z29)*($L$12:$Z$12=AT$12))</f>
        <v>0</v>
      </c>
      <c r="AU29" s="376"/>
      <c r="AV29" s="376"/>
      <c r="AW29" s="376"/>
      <c r="AY29" s="262"/>
    </row>
    <row r="30" spans="1:66" x14ac:dyDescent="0.2">
      <c r="A30" s="551" t="str">
        <f>IF(LEN(КАФЕДРА!A30)&gt;2,КАФЕДРА!A30,"")</f>
        <v>Пропедевтики внутренних болезней имени профессора З.С. Баркагана</v>
      </c>
      <c r="B30" s="960" t="str">
        <f>IF(LEN(КАФЕДРА!B30)&gt;2,КАФЕДРА!B30,"")</f>
        <v>Заведующий кафедрой</v>
      </c>
      <c r="C30" s="442">
        <f>IF(LEN(КАФЕДРА!$A30)&gt;2,КАФЕДРА!C30,0)</f>
        <v>0</v>
      </c>
      <c r="D30" s="1367" t="str">
        <f t="shared" si="5"/>
        <v>нет</v>
      </c>
      <c r="E30" s="719">
        <f t="shared" si="6"/>
        <v>0</v>
      </c>
      <c r="F30" s="399">
        <f t="array" ref="F30">SUM(($L30:$Z30)*($L$11:$Z$11))</f>
        <v>0</v>
      </c>
      <c r="G30" s="1870"/>
      <c r="H30" s="1894"/>
      <c r="I30" s="1866"/>
      <c r="J30" s="1394"/>
      <c r="K30" s="1368"/>
      <c r="L30" s="1877"/>
      <c r="M30" s="1876"/>
      <c r="N30" s="1878"/>
      <c r="O30" s="1369"/>
      <c r="P30" s="1399"/>
      <c r="Q30" s="1394"/>
      <c r="R30" s="1394"/>
      <c r="S30" s="1886"/>
      <c r="T30" s="1370"/>
      <c r="U30" s="1371"/>
      <c r="V30" s="1371"/>
      <c r="W30" s="1371"/>
      <c r="X30" s="1371"/>
      <c r="Y30" s="1371"/>
      <c r="Z30" s="1368"/>
      <c r="AA30" s="1372">
        <f t="array" ref="AA30">SUM(($L30:$Z30)*($L$11:$Z$11)*($L$12:$Z$12=AA$12))</f>
        <v>0</v>
      </c>
      <c r="AB30" s="742">
        <f t="array" ref="AB30">SUM(($L30:$Z30)*($L$11:$Z$11)*($L$12:$Z$12=AB$12))</f>
        <v>0</v>
      </c>
      <c r="AC30" s="742">
        <f t="array" ref="AC30">SUM(($L30:$Z30)*($L$11:$Z$11)*($L$12:$Z$12=AC$12))</f>
        <v>0</v>
      </c>
      <c r="AD30" s="1373">
        <f t="array" ref="AD30">SUM(($L30:$Z30)*($L$11:$Z$11)*($L$12:$Z$12=AD$12))</f>
        <v>0</v>
      </c>
      <c r="AE30" s="1374" t="e">
        <f t="shared" si="1"/>
        <v>#DIV/0!</v>
      </c>
      <c r="AF30" s="399" t="e">
        <f t="shared" si="2"/>
        <v>#DIV/0!</v>
      </c>
      <c r="AG30" s="399" t="e">
        <f t="shared" si="3"/>
        <v>#DIV/0!</v>
      </c>
      <c r="AH30" s="1308" t="e">
        <f t="shared" si="7"/>
        <v>#DIV/0!</v>
      </c>
      <c r="AI30" s="1374">
        <f t="array" ref="AI30">IF(SUM(($L30:$Z30)*($L$11:$Z$11)*($L$12:$Z$12=AI$12))&gt;0,100,0)</f>
        <v>0</v>
      </c>
      <c r="AJ30" s="399">
        <f t="array" ref="AJ30">IF(SUM(($L30:$Z30)*($L$11:$Z$11)*($L$12:$Z$12=AJ$12))&gt;0,100,0)</f>
        <v>0</v>
      </c>
      <c r="AK30" s="399">
        <f t="array" ref="AK30">IF(SUM(($L30:$Z30)*($L$11:$Z$11)*($L$12:$Z$12=AK$12))&gt;0,100,0)</f>
        <v>0</v>
      </c>
      <c r="AL30" s="1308">
        <f t="array" ref="AL30">IF(SUM(($L30:$Z30)*($L$11:$Z$11)*($L$12:$Z$12=AL$12))&gt;0,100,0)</f>
        <v>0</v>
      </c>
      <c r="AM30" s="1374" t="str">
        <f t="array" ref="AM30">IF(G30&lt;&gt;0,SUM(($L30:$Z30)*($L$12:$Z$12=AM$12))/G30*100,нет)</f>
        <v>нет</v>
      </c>
      <c r="AN30" s="399" t="str">
        <f t="array" ref="AN30">IF(H30&lt;&gt;0,SUM(($L30:$Z30)*($L$12:$Z$12=AN$12))/H30*100,нет)</f>
        <v>нет</v>
      </c>
      <c r="AO30" s="399" t="str">
        <f t="array" ref="AO30">IF(SUM($I30:$J30)&lt;&gt;0,SUM(($L30:$Z30)*($L$12:$Z$12=AO$12))/SUM($I30:$J30)*100,нет)</f>
        <v>нет</v>
      </c>
      <c r="AP30" s="1308" t="str">
        <f t="array" ref="AP30">IF(K30&lt;&gt;0,SUM(($L30:$Z30)*($L$12:$Z$12=AP$12))/K30*100,нет)</f>
        <v>нет</v>
      </c>
      <c r="AQ30" s="1372">
        <f t="array" ref="AQ30">SUM(($L30:$Z30)*($L$12:$Z$12=AQ$12))</f>
        <v>0</v>
      </c>
      <c r="AR30" s="742">
        <f t="array" ref="AR30">SUM(($L30:$Z30)*($L$12:$Z$12=AR$12))</f>
        <v>0</v>
      </c>
      <c r="AS30" s="742">
        <f t="array" ref="AS30">SUM(($L30:$Z30)*($L$12:$Z$12=AS$12))</f>
        <v>0</v>
      </c>
      <c r="AT30" s="1373">
        <f t="array" ref="AT30">SUM(($L30:$Z30)*($L$12:$Z$12=AT$12))</f>
        <v>0</v>
      </c>
      <c r="AU30" s="376"/>
      <c r="AV30" s="376"/>
      <c r="AW30" s="376"/>
      <c r="AY30" s="262"/>
    </row>
    <row r="31" spans="1:66" x14ac:dyDescent="0.2">
      <c r="A31" s="551" t="str">
        <f>IF(LEN(КАФЕДРА!A31)&gt;2,КАФЕДРА!A31,"")</f>
        <v>Терапии и общей врачебной практики с курсом ДПО</v>
      </c>
      <c r="B31" s="960" t="str">
        <f>IF(LEN(КАФЕДРА!B31)&gt;2,КАФЕДРА!B31,"")</f>
        <v>Заведующий кафедрой</v>
      </c>
      <c r="C31" s="442">
        <f>IF(LEN(КАФЕДРА!$A31)&gt;2,КАФЕДРА!C31,0)</f>
        <v>0</v>
      </c>
      <c r="D31" s="1367" t="str">
        <f t="shared" si="5"/>
        <v>нет</v>
      </c>
      <c r="E31" s="719">
        <f t="shared" si="6"/>
        <v>0</v>
      </c>
      <c r="F31" s="399">
        <f t="array" ref="F31">SUM(($L31:$Z31)*($L$11:$Z$11))</f>
        <v>0</v>
      </c>
      <c r="G31" s="1870"/>
      <c r="H31" s="1894"/>
      <c r="I31" s="1866"/>
      <c r="J31" s="1394"/>
      <c r="K31" s="1368"/>
      <c r="L31" s="1877"/>
      <c r="M31" s="1876"/>
      <c r="N31" s="1878"/>
      <c r="O31" s="1369"/>
      <c r="P31" s="1399"/>
      <c r="Q31" s="1394"/>
      <c r="R31" s="1394"/>
      <c r="S31" s="1886"/>
      <c r="T31" s="1370"/>
      <c r="U31" s="1371"/>
      <c r="V31" s="1371"/>
      <c r="W31" s="1371"/>
      <c r="X31" s="1371"/>
      <c r="Y31" s="1371"/>
      <c r="Z31" s="1368"/>
      <c r="AA31" s="1372">
        <f t="array" ref="AA31">SUM(($L31:$Z31)*($L$11:$Z$11)*($L$12:$Z$12=AA$12))</f>
        <v>0</v>
      </c>
      <c r="AB31" s="742">
        <f t="array" ref="AB31">SUM(($L31:$Z31)*($L$11:$Z$11)*($L$12:$Z$12=AB$12))</f>
        <v>0</v>
      </c>
      <c r="AC31" s="742">
        <f t="array" ref="AC31">SUM(($L31:$Z31)*($L$11:$Z$11)*($L$12:$Z$12=AC$12))</f>
        <v>0</v>
      </c>
      <c r="AD31" s="1373">
        <f t="array" ref="AD31">SUM(($L31:$Z31)*($L$11:$Z$11)*($L$12:$Z$12=AD$12))</f>
        <v>0</v>
      </c>
      <c r="AE31" s="1374" t="e">
        <f t="shared" si="1"/>
        <v>#DIV/0!</v>
      </c>
      <c r="AF31" s="399" t="e">
        <f t="shared" si="2"/>
        <v>#DIV/0!</v>
      </c>
      <c r="AG31" s="399" t="e">
        <f t="shared" si="3"/>
        <v>#DIV/0!</v>
      </c>
      <c r="AH31" s="1308" t="e">
        <f t="shared" si="7"/>
        <v>#DIV/0!</v>
      </c>
      <c r="AI31" s="1374">
        <f t="array" ref="AI31">IF(SUM(($L31:$Z31)*($L$11:$Z$11)*($L$12:$Z$12=AI$12))&gt;0,100,0)</f>
        <v>0</v>
      </c>
      <c r="AJ31" s="399">
        <f t="array" ref="AJ31">IF(SUM(($L31:$Z31)*($L$11:$Z$11)*($L$12:$Z$12=AJ$12))&gt;0,100,0)</f>
        <v>0</v>
      </c>
      <c r="AK31" s="399">
        <f t="array" ref="AK31">IF(SUM(($L31:$Z31)*($L$11:$Z$11)*($L$12:$Z$12=AK$12))&gt;0,100,0)</f>
        <v>0</v>
      </c>
      <c r="AL31" s="1308">
        <f t="array" ref="AL31">IF(SUM(($L31:$Z31)*($L$11:$Z$11)*($L$12:$Z$12=AL$12))&gt;0,100,0)</f>
        <v>0</v>
      </c>
      <c r="AM31" s="1374" t="str">
        <f t="array" ref="AM31">IF(G31&lt;&gt;0,SUM(($L31:$Z31)*($L$12:$Z$12=AM$12))/G31*100,нет)</f>
        <v>нет</v>
      </c>
      <c r="AN31" s="399" t="str">
        <f t="array" ref="AN31">IF(H31&lt;&gt;0,SUM(($L31:$Z31)*($L$12:$Z$12=AN$12))/H31*100,нет)</f>
        <v>нет</v>
      </c>
      <c r="AO31" s="399" t="str">
        <f t="array" ref="AO31">IF(SUM($I31:$J31)&lt;&gt;0,SUM(($L31:$Z31)*($L$12:$Z$12=AO$12))/SUM($I31:$J31)*100,нет)</f>
        <v>нет</v>
      </c>
      <c r="AP31" s="1308" t="str">
        <f t="array" ref="AP31">IF(K31&lt;&gt;0,SUM(($L31:$Z31)*($L$12:$Z$12=AP$12))/K31*100,нет)</f>
        <v>нет</v>
      </c>
      <c r="AQ31" s="1372">
        <f t="array" ref="AQ31">SUM(($L31:$Z31)*($L$12:$Z$12=AQ$12))</f>
        <v>0</v>
      </c>
      <c r="AR31" s="742">
        <f t="array" ref="AR31">SUM(($L31:$Z31)*($L$12:$Z$12=AR$12))</f>
        <v>0</v>
      </c>
      <c r="AS31" s="742">
        <f t="array" ref="AS31">SUM(($L31:$Z31)*($L$12:$Z$12=AS$12))</f>
        <v>0</v>
      </c>
      <c r="AT31" s="1373">
        <f t="array" ref="AT31">SUM(($L31:$Z31)*($L$12:$Z$12=AT$12))</f>
        <v>0</v>
      </c>
      <c r="AU31" s="376"/>
      <c r="AV31" s="376"/>
      <c r="AW31" s="376"/>
      <c r="AY31" s="262"/>
    </row>
    <row r="32" spans="1:66" x14ac:dyDescent="0.2">
      <c r="A32" s="551" t="str">
        <f>IF(LEN(КАФЕДРА!A32)&gt;2,КАФЕДРА!A32,"")</f>
        <v>Травматологии и ортопедии</v>
      </c>
      <c r="B32" s="960" t="str">
        <f>IF(LEN(КАФЕДРА!B32)&gt;2,КАФЕДРА!B32,"")</f>
        <v>Заведующий кафедрой</v>
      </c>
      <c r="C32" s="442">
        <f>IF(LEN(КАФЕДРА!$A32)&gt;2,КАФЕДРА!C32,0)</f>
        <v>0</v>
      </c>
      <c r="D32" s="1367" t="str">
        <f t="shared" si="5"/>
        <v>нет</v>
      </c>
      <c r="E32" s="719">
        <f t="shared" si="6"/>
        <v>0</v>
      </c>
      <c r="F32" s="399">
        <f t="array" ref="F32">SUM(($L32:$Z32)*($L$11:$Z$11))</f>
        <v>0</v>
      </c>
      <c r="G32" s="1870"/>
      <c r="H32" s="1894"/>
      <c r="I32" s="1866"/>
      <c r="J32" s="1394"/>
      <c r="K32" s="1368"/>
      <c r="L32" s="1877"/>
      <c r="M32" s="1876"/>
      <c r="N32" s="1878"/>
      <c r="O32" s="1369"/>
      <c r="P32" s="1399"/>
      <c r="Q32" s="1394"/>
      <c r="R32" s="1394"/>
      <c r="S32" s="1886"/>
      <c r="T32" s="1370"/>
      <c r="U32" s="1371"/>
      <c r="V32" s="1371"/>
      <c r="W32" s="1371"/>
      <c r="X32" s="1371"/>
      <c r="Y32" s="1371"/>
      <c r="Z32" s="1368"/>
      <c r="AA32" s="1372">
        <f t="array" ref="AA32">SUM(($L32:$Z32)*($L$11:$Z$11)*($L$12:$Z$12=AA$12))</f>
        <v>0</v>
      </c>
      <c r="AB32" s="742">
        <f t="array" ref="AB32">SUM(($L32:$Z32)*($L$11:$Z$11)*($L$12:$Z$12=AB$12))</f>
        <v>0</v>
      </c>
      <c r="AC32" s="742">
        <f t="array" ref="AC32">SUM(($L32:$Z32)*($L$11:$Z$11)*($L$12:$Z$12=AC$12))</f>
        <v>0</v>
      </c>
      <c r="AD32" s="1373">
        <f t="array" ref="AD32">SUM(($L32:$Z32)*($L$11:$Z$11)*($L$12:$Z$12=AD$12))</f>
        <v>0</v>
      </c>
      <c r="AE32" s="1374" t="e">
        <f t="shared" si="1"/>
        <v>#DIV/0!</v>
      </c>
      <c r="AF32" s="399" t="e">
        <f t="shared" si="2"/>
        <v>#DIV/0!</v>
      </c>
      <c r="AG32" s="399" t="e">
        <f t="shared" si="3"/>
        <v>#DIV/0!</v>
      </c>
      <c r="AH32" s="1308" t="e">
        <f t="shared" si="7"/>
        <v>#DIV/0!</v>
      </c>
      <c r="AI32" s="1374">
        <f t="array" ref="AI32">IF(SUM(($L32:$Z32)*($L$11:$Z$11)*($L$12:$Z$12=AI$12))&gt;0,100,0)</f>
        <v>0</v>
      </c>
      <c r="AJ32" s="399">
        <f t="array" ref="AJ32">IF(SUM(($L32:$Z32)*($L$11:$Z$11)*($L$12:$Z$12=AJ$12))&gt;0,100,0)</f>
        <v>0</v>
      </c>
      <c r="AK32" s="399">
        <f t="array" ref="AK32">IF(SUM(($L32:$Z32)*($L$11:$Z$11)*($L$12:$Z$12=AK$12))&gt;0,100,0)</f>
        <v>0</v>
      </c>
      <c r="AL32" s="1308">
        <f t="array" ref="AL32">IF(SUM(($L32:$Z32)*($L$11:$Z$11)*($L$12:$Z$12=AL$12))&gt;0,100,0)</f>
        <v>0</v>
      </c>
      <c r="AM32" s="1374" t="str">
        <f t="array" ref="AM32">IF(G32&lt;&gt;0,SUM(($L32:$Z32)*($L$12:$Z$12=AM$12))/G32*100,нет)</f>
        <v>нет</v>
      </c>
      <c r="AN32" s="399" t="str">
        <f t="array" ref="AN32">IF(H32&lt;&gt;0,SUM(($L32:$Z32)*($L$12:$Z$12=AN$12))/H32*100,нет)</f>
        <v>нет</v>
      </c>
      <c r="AO32" s="399" t="str">
        <f t="array" ref="AO32">IF(SUM($I32:$J32)&lt;&gt;0,SUM(($L32:$Z32)*($L$12:$Z$12=AO$12))/SUM($I32:$J32)*100,нет)</f>
        <v>нет</v>
      </c>
      <c r="AP32" s="1308" t="str">
        <f t="array" ref="AP32">IF(K32&lt;&gt;0,SUM(($L32:$Z32)*($L$12:$Z$12=AP$12))/K32*100,нет)</f>
        <v>нет</v>
      </c>
      <c r="AQ32" s="1372">
        <f t="array" ref="AQ32">SUM(($L32:$Z32)*($L$12:$Z$12=AQ$12))</f>
        <v>0</v>
      </c>
      <c r="AR32" s="742">
        <f t="array" ref="AR32">SUM(($L32:$Z32)*($L$12:$Z$12=AR$12))</f>
        <v>0</v>
      </c>
      <c r="AS32" s="742">
        <f t="array" ref="AS32">SUM(($L32:$Z32)*($L$12:$Z$12=AS$12))</f>
        <v>0</v>
      </c>
      <c r="AT32" s="1373">
        <f t="array" ref="AT32">SUM(($L32:$Z32)*($L$12:$Z$12=AT$12))</f>
        <v>0</v>
      </c>
      <c r="AU32" s="376"/>
      <c r="AV32" s="376"/>
      <c r="AW32" s="376"/>
      <c r="AY32" s="262"/>
    </row>
    <row r="33" spans="1:53" x14ac:dyDescent="0.2">
      <c r="A33" s="551" t="str">
        <f>IF(LEN(КАФЕДРА!A33)&gt;2,КАФЕДРА!A33,"")</f>
        <v>Ультразвуковой и функциональной диагностики с курсом ДПО</v>
      </c>
      <c r="B33" s="960" t="str">
        <f>IF(LEN(КАФЕДРА!B33)&gt;2,КАФЕДРА!B33,"")</f>
        <v>Заведующий кафедрой</v>
      </c>
      <c r="C33" s="442">
        <f>IF(LEN(КАФЕДРА!$A33)&gt;2,КАФЕДРА!C33,0)</f>
        <v>0</v>
      </c>
      <c r="D33" s="1367" t="str">
        <f t="shared" si="5"/>
        <v>нет</v>
      </c>
      <c r="E33" s="719">
        <f>IF($C33=0,0,$F33/$C33)</f>
        <v>0</v>
      </c>
      <c r="F33" s="399">
        <f t="array" ref="F33">SUM(($L33:$Z33)*($L$11:$Z$11))</f>
        <v>0</v>
      </c>
      <c r="G33" s="1870"/>
      <c r="H33" s="1894"/>
      <c r="I33" s="1866"/>
      <c r="J33" s="1394"/>
      <c r="K33" s="1368"/>
      <c r="L33" s="1877"/>
      <c r="M33" s="1876"/>
      <c r="N33" s="1878"/>
      <c r="O33" s="1369"/>
      <c r="P33" s="1399"/>
      <c r="Q33" s="1394"/>
      <c r="R33" s="1394"/>
      <c r="S33" s="1886"/>
      <c r="T33" s="1370"/>
      <c r="U33" s="1371"/>
      <c r="V33" s="1371"/>
      <c r="W33" s="1371"/>
      <c r="X33" s="1371"/>
      <c r="Y33" s="1371"/>
      <c r="Z33" s="1368"/>
      <c r="AA33" s="1372">
        <f t="array" ref="AA33">SUM(($L33:$Z33)*($L$11:$Z$11)*($L$12:$Z$12=AA$12))</f>
        <v>0</v>
      </c>
      <c r="AB33" s="742">
        <f t="array" ref="AB33">SUM(($L33:$Z33)*($L$11:$Z$11)*($L$12:$Z$12=AB$12))</f>
        <v>0</v>
      </c>
      <c r="AC33" s="742">
        <f t="array" ref="AC33">SUM(($L33:$Z33)*($L$11:$Z$11)*($L$12:$Z$12=AC$12))</f>
        <v>0</v>
      </c>
      <c r="AD33" s="1373">
        <f t="array" ref="AD33">SUM(($L33:$Z33)*($L$11:$Z$11)*($L$12:$Z$12=AD$12))</f>
        <v>0</v>
      </c>
      <c r="AE33" s="1374" t="e">
        <f t="shared" si="1"/>
        <v>#DIV/0!</v>
      </c>
      <c r="AF33" s="399" t="e">
        <f t="shared" si="2"/>
        <v>#DIV/0!</v>
      </c>
      <c r="AG33" s="399" t="e">
        <f t="shared" si="3"/>
        <v>#DIV/0!</v>
      </c>
      <c r="AH33" s="1308" t="e">
        <f>AD33/$C33</f>
        <v>#DIV/0!</v>
      </c>
      <c r="AI33" s="1374">
        <f t="array" ref="AI33">IF(SUM(($L33:$Z33)*($L$11:$Z$11)*($L$12:$Z$12=AI$12))&gt;0,100,0)</f>
        <v>0</v>
      </c>
      <c r="AJ33" s="399">
        <f t="array" ref="AJ33">IF(SUM(($L33:$Z33)*($L$11:$Z$11)*($L$12:$Z$12=AJ$12))&gt;0,100,0)</f>
        <v>0</v>
      </c>
      <c r="AK33" s="399">
        <f t="array" ref="AK33">IF(SUM(($L33:$Z33)*($L$11:$Z$11)*($L$12:$Z$12=AK$12))&gt;0,100,0)</f>
        <v>0</v>
      </c>
      <c r="AL33" s="1308">
        <f t="array" ref="AL33">IF(SUM(($L33:$Z33)*($L$11:$Z$11)*($L$12:$Z$12=AL$12))&gt;0,100,0)</f>
        <v>0</v>
      </c>
      <c r="AM33" s="1374" t="str">
        <f t="array" ref="AM33">IF(G33&lt;&gt;0,SUM(($L33:$Z33)*($L$12:$Z$12=AM$12))/G33*100,нет)</f>
        <v>нет</v>
      </c>
      <c r="AN33" s="399" t="str">
        <f t="array" ref="AN33">IF(H33&lt;&gt;0,SUM(($L33:$Z33)*($L$12:$Z$12=AN$12))/H33*100,нет)</f>
        <v>нет</v>
      </c>
      <c r="AO33" s="399" t="str">
        <f t="array" ref="AO33">IF(SUM($I33:$J33)&lt;&gt;0,SUM(($L33:$Z33)*($L$12:$Z$12=AO$12))/SUM($I33:$J33)*100,нет)</f>
        <v>нет</v>
      </c>
      <c r="AP33" s="1308" t="str">
        <f t="array" ref="AP33">IF(K33&lt;&gt;0,SUM(($L33:$Z33)*($L$12:$Z$12=AP$12))/K33*100,нет)</f>
        <v>нет</v>
      </c>
      <c r="AQ33" s="1372">
        <f t="array" ref="AQ33">SUM(($L33:$Z33)*($L$12:$Z$12=AQ$12))</f>
        <v>0</v>
      </c>
      <c r="AR33" s="742">
        <f t="array" ref="AR33">SUM(($L33:$Z33)*($L$12:$Z$12=AR$12))</f>
        <v>0</v>
      </c>
      <c r="AS33" s="742">
        <f t="array" ref="AS33">SUM(($L33:$Z33)*($L$12:$Z$12=AS$12))</f>
        <v>0</v>
      </c>
      <c r="AT33" s="1373">
        <f t="array" ref="AT33">SUM(($L33:$Z33)*($L$12:$Z$12=AT$12))</f>
        <v>0</v>
      </c>
      <c r="AU33" s="376"/>
      <c r="AV33" s="376"/>
      <c r="AW33" s="376"/>
      <c r="AY33" s="262"/>
    </row>
    <row r="34" spans="1:53" x14ac:dyDescent="0.2">
      <c r="A34" s="551" t="str">
        <f>IF(LEN(КАФЕДРА!A34)&gt;2,КАФЕДРА!A34,"")</f>
        <v>Урологии и андрологии с курсом ДПО</v>
      </c>
      <c r="B34" s="960" t="str">
        <f>IF(LEN(КАФЕДРА!B34)&gt;2,КАФЕДРА!B34,"")</f>
        <v>Заведующий кафедрой</v>
      </c>
      <c r="C34" s="442">
        <f>IF(LEN(КАФЕДРА!$A34)&gt;2,КАФЕДРА!C34,0)</f>
        <v>0</v>
      </c>
      <c r="D34" s="1367" t="str">
        <f t="shared" si="5"/>
        <v>нет</v>
      </c>
      <c r="E34" s="719">
        <f>IF($C34=0,0,$F34/$C34)</f>
        <v>0</v>
      </c>
      <c r="F34" s="399">
        <f t="array" ref="F34">SUM(($L34:$Z34)*($L$11:$Z$11))</f>
        <v>0</v>
      </c>
      <c r="G34" s="1870"/>
      <c r="H34" s="1894"/>
      <c r="I34" s="1866"/>
      <c r="J34" s="1394"/>
      <c r="K34" s="1368"/>
      <c r="L34" s="1877"/>
      <c r="M34" s="1876"/>
      <c r="N34" s="1878"/>
      <c r="O34" s="1369"/>
      <c r="P34" s="1399"/>
      <c r="Q34" s="1394"/>
      <c r="R34" s="1394"/>
      <c r="S34" s="1886"/>
      <c r="T34" s="1370"/>
      <c r="U34" s="1371"/>
      <c r="V34" s="1371"/>
      <c r="W34" s="1371"/>
      <c r="X34" s="1371"/>
      <c r="Y34" s="1371"/>
      <c r="Z34" s="1368"/>
      <c r="AA34" s="1372">
        <f t="array" ref="AA34">SUM(($L34:$Z34)*($L$11:$Z$11)*($L$12:$Z$12=AA$12))</f>
        <v>0</v>
      </c>
      <c r="AB34" s="742">
        <f t="array" ref="AB34">SUM(($L34:$Z34)*($L$11:$Z$11)*($L$12:$Z$12=AB$12))</f>
        <v>0</v>
      </c>
      <c r="AC34" s="742">
        <f t="array" ref="AC34">SUM(($L34:$Z34)*($L$11:$Z$11)*($L$12:$Z$12=AC$12))</f>
        <v>0</v>
      </c>
      <c r="AD34" s="1373">
        <f t="array" ref="AD34">SUM(($L34:$Z34)*($L$11:$Z$11)*($L$12:$Z$12=AD$12))</f>
        <v>0</v>
      </c>
      <c r="AE34" s="1374" t="e">
        <f t="shared" si="1"/>
        <v>#DIV/0!</v>
      </c>
      <c r="AF34" s="399" t="e">
        <f t="shared" si="2"/>
        <v>#DIV/0!</v>
      </c>
      <c r="AG34" s="399" t="e">
        <f t="shared" si="3"/>
        <v>#DIV/0!</v>
      </c>
      <c r="AH34" s="1308" t="e">
        <f t="shared" si="7"/>
        <v>#DIV/0!</v>
      </c>
      <c r="AI34" s="1374">
        <f t="array" ref="AI34">IF(SUM(($L34:$Z34)*($L$11:$Z$11)*($L$12:$Z$12=AI$12))&gt;0,100,0)</f>
        <v>0</v>
      </c>
      <c r="AJ34" s="399">
        <f t="array" ref="AJ34">IF(SUM(($L34:$Z34)*($L$11:$Z$11)*($L$12:$Z$12=AJ$12))&gt;0,100,0)</f>
        <v>0</v>
      </c>
      <c r="AK34" s="399">
        <f t="array" ref="AK34">IF(SUM(($L34:$Z34)*($L$11:$Z$11)*($L$12:$Z$12=AK$12))&gt;0,100,0)</f>
        <v>0</v>
      </c>
      <c r="AL34" s="1308">
        <f t="array" ref="AL34">IF(SUM(($L34:$Z34)*($L$11:$Z$11)*($L$12:$Z$12=AL$12))&gt;0,100,0)</f>
        <v>0</v>
      </c>
      <c r="AM34" s="1374" t="str">
        <f t="array" ref="AM34">IF(G34&lt;&gt;0,SUM(($L34:$Z34)*($L$12:$Z$12=AM$12))/G34*100,нет)</f>
        <v>нет</v>
      </c>
      <c r="AN34" s="399" t="str">
        <f t="array" ref="AN34">IF(H34&lt;&gt;0,SUM(($L34:$Z34)*($L$12:$Z$12=AN$12))/H34*100,нет)</f>
        <v>нет</v>
      </c>
      <c r="AO34" s="399" t="str">
        <f t="array" ref="AO34">IF(SUM($I34:$J34)&lt;&gt;0,SUM(($L34:$Z34)*($L$12:$Z$12=AO$12))/SUM($I34:$J34)*100,нет)</f>
        <v>нет</v>
      </c>
      <c r="AP34" s="1308" t="str">
        <f t="array" ref="AP34">IF(K34&lt;&gt;0,SUM(($L34:$Z34)*($L$12:$Z$12=AP$12))/K34*100,нет)</f>
        <v>нет</v>
      </c>
      <c r="AQ34" s="1372">
        <f t="array" ref="AQ34">SUM(($L34:$Z34)*($L$12:$Z$12=AQ$12))</f>
        <v>0</v>
      </c>
      <c r="AR34" s="742">
        <f t="array" ref="AR34">SUM(($L34:$Z34)*($L$12:$Z$12=AR$12))</f>
        <v>0</v>
      </c>
      <c r="AS34" s="742">
        <f t="array" ref="AS34">SUM(($L34:$Z34)*($L$12:$Z$12=AS$12))</f>
        <v>0</v>
      </c>
      <c r="AT34" s="1373">
        <f t="array" ref="AT34">SUM(($L34:$Z34)*($L$12:$Z$12=AT$12))</f>
        <v>0</v>
      </c>
      <c r="AU34" s="376"/>
      <c r="AV34" s="376"/>
      <c r="AW34" s="376"/>
      <c r="AY34" s="262"/>
    </row>
    <row r="35" spans="1:53" x14ac:dyDescent="0.2">
      <c r="A35" s="551" t="str">
        <f>IF(LEN(КАФЕДРА!A35)&gt;2,КАФЕДРА!A35,"")</f>
        <v>Факультетской терапии и профессиональных болезней</v>
      </c>
      <c r="B35" s="960" t="str">
        <f>IF(LEN(КАФЕДРА!B35)&gt;2,КАФЕДРА!B35,"")</f>
        <v>Заведующий кафедрой</v>
      </c>
      <c r="C35" s="442">
        <f>IF(LEN(КАФЕДРА!$A35)&gt;2,КАФЕДРА!C35,0)</f>
        <v>0</v>
      </c>
      <c r="D35" s="1367" t="str">
        <f t="shared" si="5"/>
        <v>нет</v>
      </c>
      <c r="E35" s="719">
        <f t="shared" si="6"/>
        <v>0</v>
      </c>
      <c r="F35" s="399">
        <f t="array" ref="F35">SUM(($L35:$Z35)*($L$11:$Z$11))</f>
        <v>0</v>
      </c>
      <c r="G35" s="1870"/>
      <c r="H35" s="1894"/>
      <c r="I35" s="1866"/>
      <c r="J35" s="1394"/>
      <c r="K35" s="1368"/>
      <c r="L35" s="1877"/>
      <c r="M35" s="1876"/>
      <c r="N35" s="1878"/>
      <c r="O35" s="1369"/>
      <c r="P35" s="1399"/>
      <c r="Q35" s="1394"/>
      <c r="R35" s="1394"/>
      <c r="S35" s="1886"/>
      <c r="T35" s="1370"/>
      <c r="U35" s="1371"/>
      <c r="V35" s="1371"/>
      <c r="W35" s="1371"/>
      <c r="X35" s="1371"/>
      <c r="Y35" s="1371"/>
      <c r="Z35" s="1368"/>
      <c r="AA35" s="1372">
        <f t="array" ref="AA35">SUM(($L35:$Z35)*($L$11:$Z$11)*($L$12:$Z$12=AA$12))</f>
        <v>0</v>
      </c>
      <c r="AB35" s="742">
        <f t="array" ref="AB35">SUM(($L35:$Z35)*($L$11:$Z$11)*($L$12:$Z$12=AB$12))</f>
        <v>0</v>
      </c>
      <c r="AC35" s="742">
        <f t="array" ref="AC35">SUM(($L35:$Z35)*($L$11:$Z$11)*($L$12:$Z$12=AC$12))</f>
        <v>0</v>
      </c>
      <c r="AD35" s="1373">
        <f t="array" ref="AD35">SUM(($L35:$Z35)*($L$11:$Z$11)*($L$12:$Z$12=AD$12))</f>
        <v>0</v>
      </c>
      <c r="AE35" s="1374" t="e">
        <f t="shared" si="1"/>
        <v>#DIV/0!</v>
      </c>
      <c r="AF35" s="399" t="e">
        <f t="shared" si="2"/>
        <v>#DIV/0!</v>
      </c>
      <c r="AG35" s="399" t="e">
        <f t="shared" si="3"/>
        <v>#DIV/0!</v>
      </c>
      <c r="AH35" s="1308" t="e">
        <f t="shared" si="7"/>
        <v>#DIV/0!</v>
      </c>
      <c r="AI35" s="1374">
        <f t="array" ref="AI35">IF(SUM(($L35:$Z35)*($L$11:$Z$11)*($L$12:$Z$12=AI$12))&gt;0,100,0)</f>
        <v>0</v>
      </c>
      <c r="AJ35" s="399">
        <f t="array" ref="AJ35">IF(SUM(($L35:$Z35)*($L$11:$Z$11)*($L$12:$Z$12=AJ$12))&gt;0,100,0)</f>
        <v>0</v>
      </c>
      <c r="AK35" s="399">
        <f t="array" ref="AK35">IF(SUM(($L35:$Z35)*($L$11:$Z$11)*($L$12:$Z$12=AK$12))&gt;0,100,0)</f>
        <v>0</v>
      </c>
      <c r="AL35" s="1308">
        <f t="array" ref="AL35">IF(SUM(($L35:$Z35)*($L$11:$Z$11)*($L$12:$Z$12=AL$12))&gt;0,100,0)</f>
        <v>0</v>
      </c>
      <c r="AM35" s="1374" t="str">
        <f t="array" ref="AM35">IF(G35&lt;&gt;0,SUM(($L35:$Z35)*($L$12:$Z$12=AM$12))/G35*100,нет)</f>
        <v>нет</v>
      </c>
      <c r="AN35" s="399" t="str">
        <f t="array" ref="AN35">IF(H35&lt;&gt;0,SUM(($L35:$Z35)*($L$12:$Z$12=AN$12))/H35*100,нет)</f>
        <v>нет</v>
      </c>
      <c r="AO35" s="399" t="str">
        <f t="array" ref="AO35">IF(SUM($I35:$J35)&lt;&gt;0,SUM(($L35:$Z35)*($L$12:$Z$12=AO$12))/SUM($I35:$J35)*100,нет)</f>
        <v>нет</v>
      </c>
      <c r="AP35" s="1308" t="str">
        <f t="array" ref="AP35">IF(K35&lt;&gt;0,SUM(($L35:$Z35)*($L$12:$Z$12=AP$12))/K35*100,нет)</f>
        <v>нет</v>
      </c>
      <c r="AQ35" s="1372">
        <f t="array" ref="AQ35">SUM(($L35:$Z35)*($L$12:$Z$12=AQ$12))</f>
        <v>0</v>
      </c>
      <c r="AR35" s="742">
        <f t="array" ref="AR35">SUM(($L35:$Z35)*($L$12:$Z$12=AR$12))</f>
        <v>0</v>
      </c>
      <c r="AS35" s="742">
        <f t="array" ref="AS35">SUM(($L35:$Z35)*($L$12:$Z$12=AS$12))</f>
        <v>0</v>
      </c>
      <c r="AT35" s="1373">
        <f t="array" ref="AT35">SUM(($L35:$Z35)*($L$12:$Z$12=AT$12))</f>
        <v>0</v>
      </c>
      <c r="AU35" s="376"/>
      <c r="AV35" s="376"/>
      <c r="AW35" s="376"/>
      <c r="AY35" s="262"/>
    </row>
    <row r="36" spans="1:53" ht="15" thickBot="1" x14ac:dyDescent="0.25">
      <c r="A36" s="1172" t="str">
        <f>IF(LEN(КАФЕДРА!A36)&gt;2,КАФЕДРА!A36,"")</f>
        <v>Факультетской хирургии имени профессора И.И. Неймарка с курсом ДПО</v>
      </c>
      <c r="B36" s="1174" t="str">
        <f>IF(LEN(КАФЕДРА!B36)&gt;2,КАФЕДРА!B36,"")</f>
        <v>Заведующий кафедрой</v>
      </c>
      <c r="C36" s="1173">
        <f>IF(LEN(КАФЕДРА!$A36)&gt;2,КАФЕДРА!C36,0)</f>
        <v>0</v>
      </c>
      <c r="D36" s="1367" t="str">
        <f t="shared" si="5"/>
        <v>нет</v>
      </c>
      <c r="E36" s="1375">
        <f t="shared" si="6"/>
        <v>0</v>
      </c>
      <c r="F36" s="1200">
        <f t="array" ref="F36">SUM(($L36:$Z36)*($L$11:$Z$11))</f>
        <v>0</v>
      </c>
      <c r="G36" s="1871"/>
      <c r="H36" s="1895"/>
      <c r="I36" s="1867"/>
      <c r="J36" s="1396"/>
      <c r="K36" s="1376"/>
      <c r="L36" s="1880"/>
      <c r="M36" s="1879"/>
      <c r="N36" s="1881"/>
      <c r="O36" s="1377"/>
      <c r="P36" s="1400"/>
      <c r="Q36" s="1396"/>
      <c r="R36" s="1396"/>
      <c r="S36" s="1887"/>
      <c r="T36" s="1378"/>
      <c r="U36" s="1379"/>
      <c r="V36" s="1379"/>
      <c r="W36" s="1379"/>
      <c r="X36" s="1379"/>
      <c r="Y36" s="1379"/>
      <c r="Z36" s="1376"/>
      <c r="AA36" s="1380">
        <f t="array" ref="AA36">SUM(($L36:$Z36)*($L$11:$Z$11)*($L$12:$Z$12=AA$12))</f>
        <v>0</v>
      </c>
      <c r="AB36" s="1381">
        <f t="array" ref="AB36">SUM(($L36:$Z36)*($L$11:$Z$11)*($L$12:$Z$12=AB$12))</f>
        <v>0</v>
      </c>
      <c r="AC36" s="1381">
        <f t="array" ref="AC36">SUM(($L36:$Z36)*($L$11:$Z$11)*($L$12:$Z$12=AC$12))</f>
        <v>0</v>
      </c>
      <c r="AD36" s="1382">
        <f t="array" ref="AD36">SUM(($L36:$Z36)*($L$11:$Z$11)*($L$12:$Z$12=AD$12))</f>
        <v>0</v>
      </c>
      <c r="AE36" s="1383" t="e">
        <f t="shared" si="1"/>
        <v>#DIV/0!</v>
      </c>
      <c r="AF36" s="1200" t="e">
        <f t="shared" si="2"/>
        <v>#DIV/0!</v>
      </c>
      <c r="AG36" s="1200" t="e">
        <f t="shared" si="3"/>
        <v>#DIV/0!</v>
      </c>
      <c r="AH36" s="1384" t="e">
        <f t="shared" si="7"/>
        <v>#DIV/0!</v>
      </c>
      <c r="AI36" s="1383">
        <f t="array" ref="AI36">IF(SUM(($L36:$Z36)*($L$11:$Z$11)*($L$12:$Z$12=AI$12))&gt;0,100,0)</f>
        <v>0</v>
      </c>
      <c r="AJ36" s="1200">
        <f t="array" ref="AJ36">IF(SUM(($L36:$Z36)*($L$11:$Z$11)*($L$12:$Z$12=AJ$12))&gt;0,100,0)</f>
        <v>0</v>
      </c>
      <c r="AK36" s="1200">
        <f t="array" ref="AK36">IF(SUM(($L36:$Z36)*($L$11:$Z$11)*($L$12:$Z$12=AK$12))&gt;0,100,0)</f>
        <v>0</v>
      </c>
      <c r="AL36" s="1384">
        <f t="array" ref="AL36">IF(SUM(($L36:$Z36)*($L$11:$Z$11)*($L$12:$Z$12=AL$12))&gt;0,100,0)</f>
        <v>0</v>
      </c>
      <c r="AM36" s="1383" t="str">
        <f t="array" ref="AM36">IF(G36&lt;&gt;0,SUM(($L36:$Z36)*($L$12:$Z$12=AM$12))/G36*100,нет)</f>
        <v>нет</v>
      </c>
      <c r="AN36" s="1200" t="str">
        <f t="array" ref="AN36">IF(H36&lt;&gt;0,SUM(($L36:$Z36)*($L$12:$Z$12=AN$12))/H36*100,нет)</f>
        <v>нет</v>
      </c>
      <c r="AO36" s="1200" t="str">
        <f t="array" ref="AO36">IF(SUM($I36:$J36)&lt;&gt;0,SUM(($L36:$Z36)*($L$12:$Z$12=AO$12))/SUM($I36:$J36)*100,нет)</f>
        <v>нет</v>
      </c>
      <c r="AP36" s="1384" t="str">
        <f t="array" ref="AP36">IF(K36&lt;&gt;0,SUM(($L36:$Z36)*($L$12:$Z$12=AP$12))/K36*100,нет)</f>
        <v>нет</v>
      </c>
      <c r="AQ36" s="1380">
        <f t="array" ref="AQ36">SUM(($L36:$Z36)*($L$12:$Z$12=AQ$12))</f>
        <v>0</v>
      </c>
      <c r="AR36" s="1381">
        <f t="array" ref="AR36">SUM(($L36:$Z36)*($L$12:$Z$12=AR$12))</f>
        <v>0</v>
      </c>
      <c r="AS36" s="1381">
        <f t="array" ref="AS36">SUM(($L36:$Z36)*($L$12:$Z$12=AS$12))</f>
        <v>0</v>
      </c>
      <c r="AT36" s="1382">
        <f t="array" ref="AT36">SUM(($L36:$Z36)*($L$12:$Z$12=AT$12))</f>
        <v>0</v>
      </c>
      <c r="AU36" s="376"/>
      <c r="AV36" s="376"/>
      <c r="AW36" s="376"/>
      <c r="AY36" s="262"/>
    </row>
    <row r="37" spans="1:53" s="371" customFormat="1" x14ac:dyDescent="0.2">
      <c r="A37" s="582" t="str">
        <f>IF(LEN(КАФЕДРА!A37)&gt;2,КАФЕДРА!A37,"")</f>
        <v>Госпитальной педиатрии с курсом ДПО</v>
      </c>
      <c r="B37" s="370" t="str">
        <f>IF(LEN(КАФЕДРА!B37)&gt;2,КАФЕДРА!B37,"")</f>
        <v>Заведующий кафедрой</v>
      </c>
      <c r="C37" s="1385">
        <f>IF(LEN(КАФЕДРА!$A37)&gt;2,КАФЕДРА!C37,0)</f>
        <v>0</v>
      </c>
      <c r="D37" s="1367" t="str">
        <f t="shared" si="5"/>
        <v>нет</v>
      </c>
      <c r="E37" s="1360">
        <f t="shared" si="6"/>
        <v>0</v>
      </c>
      <c r="F37" s="1205">
        <f t="array" ref="F37">SUM(($L37:$Z37)*($L$11:$Z$11))</f>
        <v>0</v>
      </c>
      <c r="G37" s="1869"/>
      <c r="H37" s="1892"/>
      <c r="I37" s="1865"/>
      <c r="J37" s="1395"/>
      <c r="K37" s="1361"/>
      <c r="L37" s="1874"/>
      <c r="M37" s="1873"/>
      <c r="N37" s="1875"/>
      <c r="O37" s="1893"/>
      <c r="P37" s="1398"/>
      <c r="Q37" s="1395"/>
      <c r="R37" s="1395"/>
      <c r="S37" s="1885"/>
      <c r="T37" s="1362"/>
      <c r="U37" s="1363"/>
      <c r="V37" s="1363"/>
      <c r="W37" s="1363"/>
      <c r="X37" s="1363"/>
      <c r="Y37" s="1363"/>
      <c r="Z37" s="1361"/>
      <c r="AA37" s="1364">
        <f t="array" ref="AA37">SUM(($L37:$Z37)*($L$11:$Z$11)*($L$12:$Z$12=AA$12))</f>
        <v>0</v>
      </c>
      <c r="AB37" s="1287">
        <f t="array" ref="AB37">SUM(($L37:$Z37)*($L$11:$Z$11)*($L$12:$Z$12=AB$12))</f>
        <v>0</v>
      </c>
      <c r="AC37" s="1287">
        <f t="array" ref="AC37">SUM(($L37:$Z37)*($L$11:$Z$11)*($L$12:$Z$12=AC$12))</f>
        <v>0</v>
      </c>
      <c r="AD37" s="1365">
        <f t="array" ref="AD37">SUM(($L37:$Z37)*($L$11:$Z$11)*($L$12:$Z$12=AD$12))</f>
        <v>0</v>
      </c>
      <c r="AE37" s="1366" t="e">
        <f t="shared" si="1"/>
        <v>#DIV/0!</v>
      </c>
      <c r="AF37" s="1205" t="e">
        <f t="shared" si="2"/>
        <v>#DIV/0!</v>
      </c>
      <c r="AG37" s="1205" t="e">
        <f t="shared" si="3"/>
        <v>#DIV/0!</v>
      </c>
      <c r="AH37" s="1288" t="e">
        <f t="shared" si="7"/>
        <v>#DIV/0!</v>
      </c>
      <c r="AI37" s="1366">
        <f t="array" ref="AI37">IF(SUM(($L37:$Z37)*($L$11:$Z$11)*($L$12:$Z$12=AI$12))&gt;0,100,0)</f>
        <v>0</v>
      </c>
      <c r="AJ37" s="1205">
        <f t="array" ref="AJ37">IF(SUM(($L37:$Z37)*($L$11:$Z$11)*($L$12:$Z$12=AJ$12))&gt;0,100,0)</f>
        <v>0</v>
      </c>
      <c r="AK37" s="1205">
        <f t="array" ref="AK37">IF(SUM(($L37:$Z37)*($L$11:$Z$11)*($L$12:$Z$12=AK$12))&gt;0,100,0)</f>
        <v>0</v>
      </c>
      <c r="AL37" s="1288">
        <f t="array" ref="AL37">IF(SUM(($L37:$Z37)*($L$11:$Z$11)*($L$12:$Z$12=AL$12))&gt;0,100,0)</f>
        <v>0</v>
      </c>
      <c r="AM37" s="1366" t="str">
        <f t="array" ref="AM37">IF(G37&lt;&gt;0,SUM(($L37:$Z37)*($L$12:$Z$12=AM$12))/G37*100,нет)</f>
        <v>нет</v>
      </c>
      <c r="AN37" s="1205" t="str">
        <f t="array" ref="AN37">IF(H37&lt;&gt;0,SUM(($L37:$Z37)*($L$12:$Z$12=AN$12))/H37*100,нет)</f>
        <v>нет</v>
      </c>
      <c r="AO37" s="1205" t="str">
        <f t="array" ref="AO37">IF(SUM($I37:$J37)&lt;&gt;0,SUM(($L37:$Z37)*($L$12:$Z$12=AO$12))/SUM($I37:$J37)*100,нет)</f>
        <v>нет</v>
      </c>
      <c r="AP37" s="1288" t="str">
        <f t="array" ref="AP37">IF(K37&lt;&gt;0,SUM(($L37:$Z37)*($L$12:$Z$12=AP$12))/K37*100,нет)</f>
        <v>нет</v>
      </c>
      <c r="AQ37" s="1364">
        <f t="array" ref="AQ37">SUM(($L37:$Z37)*($L$12:$Z$12=AQ$12))</f>
        <v>0</v>
      </c>
      <c r="AR37" s="1287">
        <f t="array" ref="AR37">SUM(($L37:$Z37)*($L$12:$Z$12=AR$12))</f>
        <v>0</v>
      </c>
      <c r="AS37" s="1287">
        <f t="array" ref="AS37">SUM(($L37:$Z37)*($L$12:$Z$12=AS$12))</f>
        <v>0</v>
      </c>
      <c r="AT37" s="1365">
        <f t="array" ref="AT37">SUM(($L37:$Z37)*($L$12:$Z$12=AT$12))</f>
        <v>0</v>
      </c>
      <c r="AU37" s="1126"/>
      <c r="AV37" s="1126"/>
      <c r="AW37" s="1126"/>
      <c r="AY37" s="1127"/>
    </row>
    <row r="38" spans="1:53" x14ac:dyDescent="0.2">
      <c r="A38" s="551" t="str">
        <f>IF(LEN(КАФЕДРА!A38)&gt;2,КАФЕДРА!A38,"")</f>
        <v>Лучевой диагностики и эндоскопии с курсом ДПО</v>
      </c>
      <c r="B38" s="960" t="str">
        <f>IF(LEN(КАФЕДРА!B38)&gt;2,КАФЕДРА!B38,"")</f>
        <v>Заведующий кафедрой</v>
      </c>
      <c r="C38" s="1386">
        <f>IF(LEN(КАФЕДРА!$A38)&gt;2,КАФЕДРА!C38,0)</f>
        <v>0</v>
      </c>
      <c r="D38" s="1367" t="str">
        <f t="shared" si="5"/>
        <v>нет</v>
      </c>
      <c r="E38" s="719">
        <f>IF($C38=0,0,$F38/$C38)</f>
        <v>0</v>
      </c>
      <c r="F38" s="399">
        <f t="array" ref="F38">SUM(($L38:$Z38)*($L$11:$Z$11))</f>
        <v>0</v>
      </c>
      <c r="G38" s="1870"/>
      <c r="H38" s="1894"/>
      <c r="I38" s="1866"/>
      <c r="J38" s="1394"/>
      <c r="K38" s="1368"/>
      <c r="L38" s="1877"/>
      <c r="M38" s="1876"/>
      <c r="N38" s="1878"/>
      <c r="O38" s="1369"/>
      <c r="P38" s="1399"/>
      <c r="Q38" s="1394"/>
      <c r="R38" s="1394"/>
      <c r="S38" s="1886"/>
      <c r="T38" s="1370"/>
      <c r="U38" s="1371"/>
      <c r="V38" s="1371"/>
      <c r="W38" s="1371"/>
      <c r="X38" s="1371"/>
      <c r="Y38" s="1371"/>
      <c r="Z38" s="1368"/>
      <c r="AA38" s="1372">
        <f t="array" ref="AA38">SUM(($L38:$Z38)*($L$11:$Z$11)*($L$12:$Z$12=AA$12))</f>
        <v>0</v>
      </c>
      <c r="AB38" s="742">
        <f t="array" ref="AB38">SUM(($L38:$Z38)*($L$11:$Z$11)*($L$12:$Z$12=AB$12))</f>
        <v>0</v>
      </c>
      <c r="AC38" s="742">
        <f t="array" ref="AC38">SUM(($L38:$Z38)*($L$11:$Z$11)*($L$12:$Z$12=AC$12))</f>
        <v>0</v>
      </c>
      <c r="AD38" s="1373">
        <f t="array" ref="AD38">SUM(($L38:$Z38)*($L$11:$Z$11)*($L$12:$Z$12=AD$12))</f>
        <v>0</v>
      </c>
      <c r="AE38" s="1374" t="e">
        <f t="shared" si="1"/>
        <v>#DIV/0!</v>
      </c>
      <c r="AF38" s="399" t="e">
        <f t="shared" si="2"/>
        <v>#DIV/0!</v>
      </c>
      <c r="AG38" s="399" t="e">
        <f t="shared" si="3"/>
        <v>#DIV/0!</v>
      </c>
      <c r="AH38" s="1308" t="e">
        <f t="shared" ref="AH38:AH39" si="8">AD38/$C38</f>
        <v>#DIV/0!</v>
      </c>
      <c r="AI38" s="1374">
        <f t="array" ref="AI38">IF(SUM(($L38:$Z38)*($L$11:$Z$11)*($L$12:$Z$12=AI$12))&gt;0,100,0)</f>
        <v>0</v>
      </c>
      <c r="AJ38" s="399">
        <f t="array" ref="AJ38">IF(SUM(($L38:$Z38)*($L$11:$Z$11)*($L$12:$Z$12=AJ$12))&gt;0,100,0)</f>
        <v>0</v>
      </c>
      <c r="AK38" s="399">
        <f t="array" ref="AK38">IF(SUM(($L38:$Z38)*($L$11:$Z$11)*($L$12:$Z$12=AK$12))&gt;0,100,0)</f>
        <v>0</v>
      </c>
      <c r="AL38" s="1308">
        <f t="array" ref="AL38">IF(SUM(($L38:$Z38)*($L$11:$Z$11)*($L$12:$Z$12=AL$12))&gt;0,100,0)</f>
        <v>0</v>
      </c>
      <c r="AM38" s="1374" t="str">
        <f t="array" ref="AM38">IF(G38&lt;&gt;0,SUM(($L38:$Z38)*($L$12:$Z$12=AM$12))/G38*100,нет)</f>
        <v>нет</v>
      </c>
      <c r="AN38" s="399" t="str">
        <f t="array" ref="AN38">IF(H38&lt;&gt;0,SUM(($L38:$Z38)*($L$12:$Z$12=AN$12))/H38*100,нет)</f>
        <v>нет</v>
      </c>
      <c r="AO38" s="399" t="str">
        <f t="array" ref="AO38">IF(SUM($I38:$J38)&lt;&gt;0,SUM(($L38:$Z38)*($L$12:$Z$12=AO$12))/SUM($I38:$J38)*100,нет)</f>
        <v>нет</v>
      </c>
      <c r="AP38" s="1308" t="str">
        <f t="array" ref="AP38">IF(K38&lt;&gt;0,SUM(($L38:$Z38)*($L$12:$Z$12=AP$12))/K38*100,нет)</f>
        <v>нет</v>
      </c>
      <c r="AQ38" s="1372">
        <f t="array" ref="AQ38">SUM(($L38:$Z38)*($L$12:$Z$12=AQ$12))</f>
        <v>0</v>
      </c>
      <c r="AR38" s="742">
        <f t="array" ref="AR38">SUM(($L38:$Z38)*($L$12:$Z$12=AR$12))</f>
        <v>0</v>
      </c>
      <c r="AS38" s="742">
        <f t="array" ref="AS38">SUM(($L38:$Z38)*($L$12:$Z$12=AS$12))</f>
        <v>0</v>
      </c>
      <c r="AT38" s="1373">
        <f t="array" ref="AT38">SUM(($L38:$Z38)*($L$12:$Z$12=AT$12))</f>
        <v>0</v>
      </c>
      <c r="AU38" s="376"/>
      <c r="AV38" s="376"/>
      <c r="AW38" s="376"/>
      <c r="AY38" s="262"/>
    </row>
    <row r="39" spans="1:53" s="372" customFormat="1" x14ac:dyDescent="0.2">
      <c r="A39" s="551" t="str">
        <f>IF(LEN(КАФЕДРА!A39)&gt;2,КАФЕДРА!A39,"")</f>
        <v>Неонатологии и детской анестезиологии с курсом ДПО</v>
      </c>
      <c r="B39" s="960" t="str">
        <f>IF(LEN(КАФЕДРА!B39)&gt;2,КАФЕДРА!B39,"")</f>
        <v>Заведующий кафедрой</v>
      </c>
      <c r="C39" s="1386">
        <f>IF(LEN(КАФЕДРА!$A39)&gt;2,КАФЕДРА!C39,0)</f>
        <v>0</v>
      </c>
      <c r="D39" s="1367" t="str">
        <f t="shared" si="5"/>
        <v>нет</v>
      </c>
      <c r="E39" s="719">
        <f t="shared" si="6"/>
        <v>0</v>
      </c>
      <c r="F39" s="399">
        <f t="array" ref="F39">SUM(($L39:$Z39)*($L$11:$Z$11))</f>
        <v>0</v>
      </c>
      <c r="G39" s="1870"/>
      <c r="H39" s="1894"/>
      <c r="I39" s="1866"/>
      <c r="J39" s="1394"/>
      <c r="K39" s="1368"/>
      <c r="L39" s="1877"/>
      <c r="M39" s="1876"/>
      <c r="N39" s="1878"/>
      <c r="O39" s="1369"/>
      <c r="P39" s="1399"/>
      <c r="Q39" s="1394"/>
      <c r="R39" s="1394"/>
      <c r="S39" s="1886"/>
      <c r="T39" s="1370"/>
      <c r="U39" s="1371"/>
      <c r="V39" s="1371"/>
      <c r="W39" s="1371"/>
      <c r="X39" s="1371"/>
      <c r="Y39" s="1371"/>
      <c r="Z39" s="1368"/>
      <c r="AA39" s="1372">
        <f t="array" ref="AA39">SUM(($L39:$Z39)*($L$11:$Z$11)*($L$12:$Z$12=AA$12))</f>
        <v>0</v>
      </c>
      <c r="AB39" s="742">
        <f t="array" ref="AB39">SUM(($L39:$Z39)*($L$11:$Z$11)*($L$12:$Z$12=AB$12))</f>
        <v>0</v>
      </c>
      <c r="AC39" s="742">
        <f t="array" ref="AC39">SUM(($L39:$Z39)*($L$11:$Z$11)*($L$12:$Z$12=AC$12))</f>
        <v>0</v>
      </c>
      <c r="AD39" s="1373">
        <f t="array" ref="AD39">SUM(($L39:$Z39)*($L$11:$Z$11)*($L$12:$Z$12=AD$12))</f>
        <v>0</v>
      </c>
      <c r="AE39" s="1374" t="e">
        <f t="shared" si="1"/>
        <v>#DIV/0!</v>
      </c>
      <c r="AF39" s="399" t="e">
        <f t="shared" si="2"/>
        <v>#DIV/0!</v>
      </c>
      <c r="AG39" s="399" t="e">
        <f t="shared" si="3"/>
        <v>#DIV/0!</v>
      </c>
      <c r="AH39" s="1308" t="e">
        <f t="shared" si="8"/>
        <v>#DIV/0!</v>
      </c>
      <c r="AI39" s="1374">
        <f t="array" ref="AI39">IF(SUM(($L39:$Z39)*($L$11:$Z$11)*($L$12:$Z$12=AI$12))&gt;0,100,0)</f>
        <v>0</v>
      </c>
      <c r="AJ39" s="399">
        <f t="array" ref="AJ39">IF(SUM(($L39:$Z39)*($L$11:$Z$11)*($L$12:$Z$12=AJ$12))&gt;0,100,0)</f>
        <v>0</v>
      </c>
      <c r="AK39" s="399">
        <f t="array" ref="AK39">IF(SUM(($L39:$Z39)*($L$11:$Z$11)*($L$12:$Z$12=AK$12))&gt;0,100,0)</f>
        <v>0</v>
      </c>
      <c r="AL39" s="1308">
        <f t="array" ref="AL39">IF(SUM(($L39:$Z39)*($L$11:$Z$11)*($L$12:$Z$12=AL$12))&gt;0,100,0)</f>
        <v>0</v>
      </c>
      <c r="AM39" s="1374" t="str">
        <f t="array" ref="AM39">IF(G39&lt;&gt;0,SUM(($L39:$Z39)*($L$12:$Z$12=AM$12))/G39*100,нет)</f>
        <v>нет</v>
      </c>
      <c r="AN39" s="399" t="str">
        <f t="array" ref="AN39">IF(H39&lt;&gt;0,SUM(($L39:$Z39)*($L$12:$Z$12=AN$12))/H39*100,нет)</f>
        <v>нет</v>
      </c>
      <c r="AO39" s="399" t="str">
        <f t="array" ref="AO39">IF(SUM($I39:$J39)&lt;&gt;0,SUM(($L39:$Z39)*($L$12:$Z$12=AO$12))/SUM($I39:$J39)*100,нет)</f>
        <v>нет</v>
      </c>
      <c r="AP39" s="1308" t="str">
        <f t="array" ref="AP39">IF(K39&lt;&gt;0,SUM(($L39:$Z39)*($L$12:$Z$12=AP$12))/K39*100,нет)</f>
        <v>нет</v>
      </c>
      <c r="AQ39" s="1372">
        <f t="array" ref="AQ39">SUM(($L39:$Z39)*($L$12:$Z$12=AQ$12))</f>
        <v>0</v>
      </c>
      <c r="AR39" s="742">
        <f t="array" ref="AR39">SUM(($L39:$Z39)*($L$12:$Z$12=AR$12))</f>
        <v>0</v>
      </c>
      <c r="AS39" s="742">
        <f t="array" ref="AS39">SUM(($L39:$Z39)*($L$12:$Z$12=AS$12))</f>
        <v>0</v>
      </c>
      <c r="AT39" s="1373">
        <f t="array" ref="AT39">SUM(($L39:$Z39)*($L$12:$Z$12=AT$12))</f>
        <v>0</v>
      </c>
      <c r="AU39" s="376"/>
      <c r="AV39" s="376"/>
      <c r="AW39" s="376"/>
      <c r="AX39" s="182"/>
      <c r="AY39" s="262"/>
    </row>
    <row r="40" spans="1:53" x14ac:dyDescent="0.2">
      <c r="A40" s="551" t="str">
        <f>IF(LEN(КАФЕДРА!A40)&gt;2,КАФЕДРА!A40,"")</f>
        <v>Онкологии, лучевой терапии с курсом ДПО</v>
      </c>
      <c r="B40" s="960" t="str">
        <f>IF(LEN(КАФЕДРА!B40)&gt;2,КАФЕДРА!B40,"")</f>
        <v>Заведующий кафедрой</v>
      </c>
      <c r="C40" s="1386">
        <f>IF(LEN(КАФЕДРА!$A40)&gt;2,КАФЕДРА!C40,0)</f>
        <v>0</v>
      </c>
      <c r="D40" s="1367" t="str">
        <f t="shared" si="5"/>
        <v>нет</v>
      </c>
      <c r="E40" s="719">
        <f>IF($C40=0,0,$F40/$C40)</f>
        <v>0</v>
      </c>
      <c r="F40" s="399">
        <f t="array" ref="F40">SUM(($L40:$Z40)*($L$11:$Z$11))</f>
        <v>0</v>
      </c>
      <c r="G40" s="1870"/>
      <c r="H40" s="1894"/>
      <c r="I40" s="1866"/>
      <c r="J40" s="1394"/>
      <c r="K40" s="1368"/>
      <c r="L40" s="1877"/>
      <c r="M40" s="1876"/>
      <c r="N40" s="1878"/>
      <c r="O40" s="1369"/>
      <c r="P40" s="1399"/>
      <c r="Q40" s="1394"/>
      <c r="R40" s="1394"/>
      <c r="S40" s="1886"/>
      <c r="T40" s="1370"/>
      <c r="U40" s="1371"/>
      <c r="V40" s="1371"/>
      <c r="W40" s="1371"/>
      <c r="X40" s="1371"/>
      <c r="Y40" s="1371"/>
      <c r="Z40" s="1368"/>
      <c r="AA40" s="1372">
        <f t="array" ref="AA40">SUM(($L40:$Z40)*($L$11:$Z$11)*($L$12:$Z$12=AA$12))</f>
        <v>0</v>
      </c>
      <c r="AB40" s="742">
        <f t="array" ref="AB40">SUM(($L40:$Z40)*($L$11:$Z$11)*($L$12:$Z$12=AB$12))</f>
        <v>0</v>
      </c>
      <c r="AC40" s="742">
        <f t="array" ref="AC40">SUM(($L40:$Z40)*($L$11:$Z$11)*($L$12:$Z$12=AC$12))</f>
        <v>0</v>
      </c>
      <c r="AD40" s="1373">
        <f t="array" ref="AD40">SUM(($L40:$Z40)*($L$11:$Z$11)*($L$12:$Z$12=AD$12))</f>
        <v>0</v>
      </c>
      <c r="AE40" s="1374" t="e">
        <f t="shared" si="1"/>
        <v>#DIV/0!</v>
      </c>
      <c r="AF40" s="399" t="e">
        <f t="shared" si="2"/>
        <v>#DIV/0!</v>
      </c>
      <c r="AG40" s="399" t="e">
        <f t="shared" si="3"/>
        <v>#DIV/0!</v>
      </c>
      <c r="AH40" s="1308" t="e">
        <f t="shared" ref="AH40:AH42" si="9">AD40/$C40</f>
        <v>#DIV/0!</v>
      </c>
      <c r="AI40" s="1374">
        <f t="array" ref="AI40">IF(SUM(($L40:$Z40)*($L$11:$Z$11)*($L$12:$Z$12=AI$12))&gt;0,100,0)</f>
        <v>0</v>
      </c>
      <c r="AJ40" s="399">
        <f t="array" ref="AJ40">IF(SUM(($L40:$Z40)*($L$11:$Z$11)*($L$12:$Z$12=AJ$12))&gt;0,100,0)</f>
        <v>0</v>
      </c>
      <c r="AK40" s="399">
        <f t="array" ref="AK40">IF(SUM(($L40:$Z40)*($L$11:$Z$11)*($L$12:$Z$12=AK$12))&gt;0,100,0)</f>
        <v>0</v>
      </c>
      <c r="AL40" s="1308">
        <f t="array" ref="AL40">IF(SUM(($L40:$Z40)*($L$11:$Z$11)*($L$12:$Z$12=AL$12))&gt;0,100,0)</f>
        <v>0</v>
      </c>
      <c r="AM40" s="1374" t="str">
        <f t="array" ref="AM40">IF(G40&lt;&gt;0,SUM(($L40:$Z40)*($L$12:$Z$12=AM$12))/G40*100,нет)</f>
        <v>нет</v>
      </c>
      <c r="AN40" s="399" t="str">
        <f t="array" ref="AN40">IF(H40&lt;&gt;0,SUM(($L40:$Z40)*($L$12:$Z$12=AN$12))/H40*100,нет)</f>
        <v>нет</v>
      </c>
      <c r="AO40" s="399" t="str">
        <f t="array" ref="AO40">IF(SUM($I40:$J40)&lt;&gt;0,SUM(($L40:$Z40)*($L$12:$Z$12=AO$12))/SUM($I40:$J40)*100,нет)</f>
        <v>нет</v>
      </c>
      <c r="AP40" s="1308" t="str">
        <f t="array" ref="AP40">IF(K40&lt;&gt;0,SUM(($L40:$Z40)*($L$12:$Z$12=AP$12))/K40*100,нет)</f>
        <v>нет</v>
      </c>
      <c r="AQ40" s="1372">
        <f t="array" ref="AQ40">SUM(($L40:$Z40)*($L$12:$Z$12=AQ$12))</f>
        <v>0</v>
      </c>
      <c r="AR40" s="742">
        <f t="array" ref="AR40">SUM(($L40:$Z40)*($L$12:$Z$12=AR$12))</f>
        <v>0</v>
      </c>
      <c r="AS40" s="742">
        <f t="array" ref="AS40">SUM(($L40:$Z40)*($L$12:$Z$12=AS$12))</f>
        <v>0</v>
      </c>
      <c r="AT40" s="1373">
        <f t="array" ref="AT40">SUM(($L40:$Z40)*($L$12:$Z$12=AT$12))</f>
        <v>0</v>
      </c>
      <c r="AU40" s="376"/>
      <c r="AV40" s="376"/>
      <c r="AW40" s="376"/>
      <c r="AY40" s="262"/>
    </row>
    <row r="41" spans="1:53" x14ac:dyDescent="0.2">
      <c r="A41" s="551" t="str">
        <f>IF(LEN(КАФЕДРА!A41)&gt;2,КАФЕДРА!A41,"")</f>
        <v>Офтальмологии с курсом ДПО</v>
      </c>
      <c r="B41" s="960" t="str">
        <f>IF(LEN(КАФЕДРА!B41)&gt;2,КАФЕДРА!B41,"")</f>
        <v>Заведующий кафедрой</v>
      </c>
      <c r="C41" s="1386">
        <f>IF(LEN(КАФЕДРА!$A41)&gt;2,КАФЕДРА!C41,0)</f>
        <v>0</v>
      </c>
      <c r="D41" s="1367" t="str">
        <f t="shared" si="5"/>
        <v>нет</v>
      </c>
      <c r="E41" s="719">
        <f>IF($C41=0,0,$F41/$C41)</f>
        <v>0</v>
      </c>
      <c r="F41" s="399">
        <f t="array" ref="F41">SUM(($L41:$Z41)*($L$11:$Z$11))</f>
        <v>0</v>
      </c>
      <c r="G41" s="1870"/>
      <c r="H41" s="1894"/>
      <c r="I41" s="1866"/>
      <c r="J41" s="1394"/>
      <c r="K41" s="1368"/>
      <c r="L41" s="1877"/>
      <c r="M41" s="1876"/>
      <c r="N41" s="1878"/>
      <c r="O41" s="1369"/>
      <c r="P41" s="1399"/>
      <c r="Q41" s="1394"/>
      <c r="R41" s="1394"/>
      <c r="S41" s="1886"/>
      <c r="T41" s="1370"/>
      <c r="U41" s="1371"/>
      <c r="V41" s="1371"/>
      <c r="W41" s="1371"/>
      <c r="X41" s="1371"/>
      <c r="Y41" s="1371"/>
      <c r="Z41" s="1368"/>
      <c r="AA41" s="1372">
        <f t="array" ref="AA41">SUM(($L41:$Z41)*($L$11:$Z$11)*($L$12:$Z$12=AA$12))</f>
        <v>0</v>
      </c>
      <c r="AB41" s="742">
        <f t="array" ref="AB41">SUM(($L41:$Z41)*($L$11:$Z$11)*($L$12:$Z$12=AB$12))</f>
        <v>0</v>
      </c>
      <c r="AC41" s="742">
        <f t="array" ref="AC41">SUM(($L41:$Z41)*($L$11:$Z$11)*($L$12:$Z$12=AC$12))</f>
        <v>0</v>
      </c>
      <c r="AD41" s="1373">
        <f t="array" ref="AD41">SUM(($L41:$Z41)*($L$11:$Z$11)*($L$12:$Z$12=AD$12))</f>
        <v>0</v>
      </c>
      <c r="AE41" s="1374" t="e">
        <f t="shared" si="1"/>
        <v>#DIV/0!</v>
      </c>
      <c r="AF41" s="399" t="e">
        <f t="shared" si="2"/>
        <v>#DIV/0!</v>
      </c>
      <c r="AG41" s="399" t="e">
        <f t="shared" si="3"/>
        <v>#DIV/0!</v>
      </c>
      <c r="AH41" s="1308" t="e">
        <f t="shared" si="9"/>
        <v>#DIV/0!</v>
      </c>
      <c r="AI41" s="1374">
        <f t="array" ref="AI41">IF(SUM(($L41:$Z41)*($L$11:$Z$11)*($L$12:$Z$12=AI$12))&gt;0,100,0)</f>
        <v>0</v>
      </c>
      <c r="AJ41" s="399">
        <f t="array" ref="AJ41">IF(SUM(($L41:$Z41)*($L$11:$Z$11)*($L$12:$Z$12=AJ$12))&gt;0,100,0)</f>
        <v>0</v>
      </c>
      <c r="AK41" s="399">
        <f t="array" ref="AK41">IF(SUM(($L41:$Z41)*($L$11:$Z$11)*($L$12:$Z$12=AK$12))&gt;0,100,0)</f>
        <v>0</v>
      </c>
      <c r="AL41" s="1308">
        <f t="array" ref="AL41">IF(SUM(($L41:$Z41)*($L$11:$Z$11)*($L$12:$Z$12=AL$12))&gt;0,100,0)</f>
        <v>0</v>
      </c>
      <c r="AM41" s="1374" t="str">
        <f t="array" ref="AM41">IF(G41&lt;&gt;0,SUM(($L41:$Z41)*($L$12:$Z$12=AM$12))/G41*100,нет)</f>
        <v>нет</v>
      </c>
      <c r="AN41" s="399" t="str">
        <f t="array" ref="AN41">IF(H41&lt;&gt;0,SUM(($L41:$Z41)*($L$12:$Z$12=AN$12))/H41*100,нет)</f>
        <v>нет</v>
      </c>
      <c r="AO41" s="399" t="str">
        <f t="array" ref="AO41">IF(SUM($I41:$J41)&lt;&gt;0,SUM(($L41:$Z41)*($L$12:$Z$12=AO$12))/SUM($I41:$J41)*100,нет)</f>
        <v>нет</v>
      </c>
      <c r="AP41" s="1308" t="str">
        <f t="array" ref="AP41">IF(K41&lt;&gt;0,SUM(($L41:$Z41)*($L$12:$Z$12=AP$12))/K41*100,нет)</f>
        <v>нет</v>
      </c>
      <c r="AQ41" s="1372">
        <f t="array" ref="AQ41">SUM(($L41:$Z41)*($L$12:$Z$12=AQ$12))</f>
        <v>0</v>
      </c>
      <c r="AR41" s="742">
        <f t="array" ref="AR41">SUM(($L41:$Z41)*($L$12:$Z$12=AR$12))</f>
        <v>0</v>
      </c>
      <c r="AS41" s="742">
        <f t="array" ref="AS41">SUM(($L41:$Z41)*($L$12:$Z$12=AS$12))</f>
        <v>0</v>
      </c>
      <c r="AT41" s="1373">
        <f t="array" ref="AT41">SUM(($L41:$Z41)*($L$12:$Z$12=AT$12))</f>
        <v>0</v>
      </c>
      <c r="AU41" s="376"/>
      <c r="AV41" s="376"/>
      <c r="AW41" s="376"/>
      <c r="AY41" s="262"/>
    </row>
    <row r="42" spans="1:53" s="372" customFormat="1" x14ac:dyDescent="0.2">
      <c r="A42" s="551" t="str">
        <f>IF(LEN(КАФЕДРА!A42)&gt;2,КАФЕДРА!A42,"")</f>
        <v>Патологической физиологии</v>
      </c>
      <c r="B42" s="960" t="str">
        <f>IF(LEN(КАФЕДРА!B42)&gt;2,КАФЕДРА!B42,"")</f>
        <v>Заведующий кафедрой</v>
      </c>
      <c r="C42" s="1386">
        <f>IF(LEN(КАФЕДРА!$A42)&gt;2,КАФЕДРА!C42,0)</f>
        <v>0</v>
      </c>
      <c r="D42" s="1367" t="str">
        <f t="shared" si="5"/>
        <v>нет</v>
      </c>
      <c r="E42" s="719">
        <f>IF($C42=0,0,$F42/$C42)</f>
        <v>0</v>
      </c>
      <c r="F42" s="399">
        <f t="array" ref="F42">SUM(($L42:$Z42)*($L$11:$Z$11))</f>
        <v>0</v>
      </c>
      <c r="G42" s="1870"/>
      <c r="H42" s="1894"/>
      <c r="I42" s="1866"/>
      <c r="J42" s="1394"/>
      <c r="K42" s="1368"/>
      <c r="L42" s="1877"/>
      <c r="M42" s="1876"/>
      <c r="N42" s="1878"/>
      <c r="O42" s="1369"/>
      <c r="P42" s="1399"/>
      <c r="Q42" s="1394"/>
      <c r="R42" s="1394"/>
      <c r="S42" s="1886"/>
      <c r="T42" s="1370"/>
      <c r="U42" s="1371"/>
      <c r="V42" s="1371"/>
      <c r="W42" s="1371"/>
      <c r="X42" s="1371"/>
      <c r="Y42" s="1371"/>
      <c r="Z42" s="1368"/>
      <c r="AA42" s="1372">
        <f t="array" ref="AA42">SUM(($L42:$Z42)*($L$11:$Z$11)*($L$12:$Z$12=AA$12))</f>
        <v>0</v>
      </c>
      <c r="AB42" s="742">
        <f t="array" ref="AB42">SUM(($L42:$Z42)*($L$11:$Z$11)*($L$12:$Z$12=AB$12))</f>
        <v>0</v>
      </c>
      <c r="AC42" s="742">
        <f t="array" ref="AC42">SUM(($L42:$Z42)*($L$11:$Z$11)*($L$12:$Z$12=AC$12))</f>
        <v>0</v>
      </c>
      <c r="AD42" s="1373">
        <f t="array" ref="AD42">SUM(($L42:$Z42)*($L$11:$Z$11)*($L$12:$Z$12=AD$12))</f>
        <v>0</v>
      </c>
      <c r="AE42" s="1374" t="e">
        <f t="shared" si="1"/>
        <v>#DIV/0!</v>
      </c>
      <c r="AF42" s="399" t="e">
        <f t="shared" si="2"/>
        <v>#DIV/0!</v>
      </c>
      <c r="AG42" s="399" t="e">
        <f t="shared" si="3"/>
        <v>#DIV/0!</v>
      </c>
      <c r="AH42" s="1308" t="e">
        <f t="shared" si="9"/>
        <v>#DIV/0!</v>
      </c>
      <c r="AI42" s="1374">
        <f t="array" ref="AI42">IF(SUM(($L42:$Z42)*($L$11:$Z$11)*($L$12:$Z$12=AI$12))&gt;0,100,0)</f>
        <v>0</v>
      </c>
      <c r="AJ42" s="399">
        <f t="array" ref="AJ42">IF(SUM(($L42:$Z42)*($L$11:$Z$11)*($L$12:$Z$12=AJ$12))&gt;0,100,0)</f>
        <v>0</v>
      </c>
      <c r="AK42" s="399">
        <f t="array" ref="AK42">IF(SUM(($L42:$Z42)*($L$11:$Z$11)*($L$12:$Z$12=AK$12))&gt;0,100,0)</f>
        <v>0</v>
      </c>
      <c r="AL42" s="1308">
        <f t="array" ref="AL42">IF(SUM(($L42:$Z42)*($L$11:$Z$11)*($L$12:$Z$12=AL$12))&gt;0,100,0)</f>
        <v>0</v>
      </c>
      <c r="AM42" s="1374" t="str">
        <f t="array" ref="AM42">IF(G42&lt;&gt;0,SUM(($L42:$Z42)*($L$12:$Z$12=AM$12))/G42*100,нет)</f>
        <v>нет</v>
      </c>
      <c r="AN42" s="399" t="str">
        <f t="array" ref="AN42">IF(H42&lt;&gt;0,SUM(($L42:$Z42)*($L$12:$Z$12=AN$12))/H42*100,нет)</f>
        <v>нет</v>
      </c>
      <c r="AO42" s="399" t="str">
        <f t="array" ref="AO42">IF(SUM($I42:$J42)&lt;&gt;0,SUM(($L42:$Z42)*($L$12:$Z$12=AO$12))/SUM($I42:$J42)*100,нет)</f>
        <v>нет</v>
      </c>
      <c r="AP42" s="1308" t="str">
        <f t="array" ref="AP42">IF(K42&lt;&gt;0,SUM(($L42:$Z42)*($L$12:$Z$12=AP$12))/K42*100,нет)</f>
        <v>нет</v>
      </c>
      <c r="AQ42" s="1372">
        <f t="array" ref="AQ42">SUM(($L42:$Z42)*($L$12:$Z$12=AQ$12))</f>
        <v>0</v>
      </c>
      <c r="AR42" s="742">
        <f t="array" ref="AR42">SUM(($L42:$Z42)*($L$12:$Z$12=AR$12))</f>
        <v>0</v>
      </c>
      <c r="AS42" s="742">
        <f t="array" ref="AS42">SUM(($L42:$Z42)*($L$12:$Z$12=AS$12))</f>
        <v>0</v>
      </c>
      <c r="AT42" s="1373">
        <f t="array" ref="AT42">SUM(($L42:$Z42)*($L$12:$Z$12=AT$12))</f>
        <v>0</v>
      </c>
      <c r="AU42" s="376"/>
      <c r="AV42" s="376"/>
      <c r="AW42" s="376"/>
      <c r="AX42" s="182"/>
      <c r="AY42" s="262"/>
    </row>
    <row r="43" spans="1:53" s="372" customFormat="1" x14ac:dyDescent="0.2">
      <c r="A43" s="551" t="str">
        <f>IF(LEN(КАФЕДРА!A43)&gt;2,КАФЕДРА!A43,"")</f>
        <v>Пропедевтики детских болезней</v>
      </c>
      <c r="B43" s="960" t="str">
        <f>IF(LEN(КАФЕДРА!B43)&gt;2,КАФЕДРА!B43,"")</f>
        <v>Заведующий кафедрой</v>
      </c>
      <c r="C43" s="1386">
        <f>IF(LEN(КАФЕДРА!$A43)&gt;2,КАФЕДРА!C43,0)</f>
        <v>0</v>
      </c>
      <c r="D43" s="1367" t="str">
        <f t="shared" si="5"/>
        <v>нет</v>
      </c>
      <c r="E43" s="719">
        <f t="shared" si="6"/>
        <v>0</v>
      </c>
      <c r="F43" s="399">
        <f t="array" ref="F43">SUM(($L43:$Z43)*($L$11:$Z$11))</f>
        <v>0</v>
      </c>
      <c r="G43" s="1870"/>
      <c r="H43" s="1894"/>
      <c r="I43" s="1866"/>
      <c r="J43" s="1394"/>
      <c r="K43" s="1368"/>
      <c r="L43" s="1877"/>
      <c r="M43" s="1876"/>
      <c r="N43" s="1878"/>
      <c r="O43" s="1369"/>
      <c r="P43" s="1399"/>
      <c r="Q43" s="1394"/>
      <c r="R43" s="1394"/>
      <c r="S43" s="1886"/>
      <c r="T43" s="1370"/>
      <c r="U43" s="1371"/>
      <c r="V43" s="1371"/>
      <c r="W43" s="1371"/>
      <c r="X43" s="1371"/>
      <c r="Y43" s="1371"/>
      <c r="Z43" s="1368"/>
      <c r="AA43" s="1372">
        <f t="array" ref="AA43">SUM(($L43:$Z43)*($L$11:$Z$11)*($L$12:$Z$12=AA$12))</f>
        <v>0</v>
      </c>
      <c r="AB43" s="742">
        <f t="array" ref="AB43">SUM(($L43:$Z43)*($L$11:$Z$11)*($L$12:$Z$12=AB$12))</f>
        <v>0</v>
      </c>
      <c r="AC43" s="742">
        <f t="array" ref="AC43">SUM(($L43:$Z43)*($L$11:$Z$11)*($L$12:$Z$12=AC$12))</f>
        <v>0</v>
      </c>
      <c r="AD43" s="1373">
        <f t="array" ref="AD43">SUM(($L43:$Z43)*($L$11:$Z$11)*($L$12:$Z$12=AD$12))</f>
        <v>0</v>
      </c>
      <c r="AE43" s="1374" t="e">
        <f t="shared" si="1"/>
        <v>#DIV/0!</v>
      </c>
      <c r="AF43" s="399" t="e">
        <f t="shared" si="2"/>
        <v>#DIV/0!</v>
      </c>
      <c r="AG43" s="399" t="e">
        <f t="shared" si="3"/>
        <v>#DIV/0!</v>
      </c>
      <c r="AH43" s="1308" t="e">
        <f t="shared" si="7"/>
        <v>#DIV/0!</v>
      </c>
      <c r="AI43" s="1374">
        <f t="array" ref="AI43">IF(SUM(($L43:$Z43)*($L$11:$Z$11)*($L$12:$Z$12=AI$12))&gt;0,100,0)</f>
        <v>0</v>
      </c>
      <c r="AJ43" s="399">
        <f t="array" ref="AJ43">IF(SUM(($L43:$Z43)*($L$11:$Z$11)*($L$12:$Z$12=AJ$12))&gt;0,100,0)</f>
        <v>0</v>
      </c>
      <c r="AK43" s="399">
        <f t="array" ref="AK43">IF(SUM(($L43:$Z43)*($L$11:$Z$11)*($L$12:$Z$12=AK$12))&gt;0,100,0)</f>
        <v>0</v>
      </c>
      <c r="AL43" s="1308">
        <f t="array" ref="AL43">IF(SUM(($L43:$Z43)*($L$11:$Z$11)*($L$12:$Z$12=AL$12))&gt;0,100,0)</f>
        <v>0</v>
      </c>
      <c r="AM43" s="1374" t="str">
        <f t="array" ref="AM43">IF(G43&lt;&gt;0,SUM(($L43:$Z43)*($L$12:$Z$12=AM$12))/G43*100,нет)</f>
        <v>нет</v>
      </c>
      <c r="AN43" s="399" t="str">
        <f t="array" ref="AN43">IF(H43&lt;&gt;0,SUM(($L43:$Z43)*($L$12:$Z$12=AN$12))/H43*100,нет)</f>
        <v>нет</v>
      </c>
      <c r="AO43" s="399" t="str">
        <f t="array" ref="AO43">IF(SUM($I43:$J43)&lt;&gt;0,SUM(($L43:$Z43)*($L$12:$Z$12=AO$12))/SUM($I43:$J43)*100,нет)</f>
        <v>нет</v>
      </c>
      <c r="AP43" s="1308" t="str">
        <f t="array" ref="AP43">IF(K43&lt;&gt;0,SUM(($L43:$Z43)*($L$12:$Z$12=AP$12))/K43*100,нет)</f>
        <v>нет</v>
      </c>
      <c r="AQ43" s="1372">
        <f t="array" ref="AQ43">SUM(($L43:$Z43)*($L$12:$Z$12=AQ$12))</f>
        <v>0</v>
      </c>
      <c r="AR43" s="742">
        <f t="array" ref="AR43">SUM(($L43:$Z43)*($L$12:$Z$12=AR$12))</f>
        <v>0</v>
      </c>
      <c r="AS43" s="742">
        <f t="array" ref="AS43">SUM(($L43:$Z43)*($L$12:$Z$12=AS$12))</f>
        <v>0</v>
      </c>
      <c r="AT43" s="1373">
        <f t="array" ref="AT43">SUM(($L43:$Z43)*($L$12:$Z$12=AT$12))</f>
        <v>0</v>
      </c>
      <c r="AU43" s="376"/>
      <c r="AV43" s="376"/>
      <c r="AW43" s="376"/>
      <c r="AX43" s="182"/>
      <c r="AY43" s="262"/>
    </row>
    <row r="44" spans="1:53" s="372" customFormat="1" x14ac:dyDescent="0.2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960" t="str">
        <f>IF(LEN(КАФЕДРА!B44)&gt;2,КАФЕДРА!B44,"")</f>
        <v>Заведующий кафедрой</v>
      </c>
      <c r="C44" s="1386">
        <f>IF(LEN(КАФЕДРА!$A44)&gt;2,КАФЕДРА!C44,0)</f>
        <v>0</v>
      </c>
      <c r="D44" s="1367" t="str">
        <f t="shared" si="5"/>
        <v>нет</v>
      </c>
      <c r="E44" s="719">
        <f t="shared" si="6"/>
        <v>0</v>
      </c>
      <c r="F44" s="399">
        <f t="array" ref="F44">SUM(($L44:$Z44)*($L$11:$Z$11))</f>
        <v>0</v>
      </c>
      <c r="G44" s="1870"/>
      <c r="H44" s="1894"/>
      <c r="I44" s="1866"/>
      <c r="J44" s="1394"/>
      <c r="K44" s="1368"/>
      <c r="L44" s="1877"/>
      <c r="M44" s="1876"/>
      <c r="N44" s="1878"/>
      <c r="O44" s="1369"/>
      <c r="P44" s="1399"/>
      <c r="Q44" s="1394"/>
      <c r="R44" s="1394"/>
      <c r="S44" s="1886"/>
      <c r="T44" s="1370"/>
      <c r="U44" s="1371"/>
      <c r="V44" s="1371"/>
      <c r="W44" s="1371"/>
      <c r="X44" s="1371"/>
      <c r="Y44" s="1371"/>
      <c r="Z44" s="1368"/>
      <c r="AA44" s="1372">
        <f t="array" ref="AA44">SUM(($L44:$Z44)*($L$11:$Z$11)*($L$12:$Z$12=AA$12))</f>
        <v>0</v>
      </c>
      <c r="AB44" s="742">
        <f t="array" ref="AB44">SUM(($L44:$Z44)*($L$11:$Z$11)*($L$12:$Z$12=AB$12))</f>
        <v>0</v>
      </c>
      <c r="AC44" s="742">
        <f t="array" ref="AC44">SUM(($L44:$Z44)*($L$11:$Z$11)*($L$12:$Z$12=AC$12))</f>
        <v>0</v>
      </c>
      <c r="AD44" s="1373">
        <f t="array" ref="AD44">SUM(($L44:$Z44)*($L$11:$Z$11)*($L$12:$Z$12=AD$12))</f>
        <v>0</v>
      </c>
      <c r="AE44" s="1374" t="e">
        <f t="shared" si="1"/>
        <v>#DIV/0!</v>
      </c>
      <c r="AF44" s="399" t="e">
        <f t="shared" si="2"/>
        <v>#DIV/0!</v>
      </c>
      <c r="AG44" s="399" t="e">
        <f t="shared" si="3"/>
        <v>#DIV/0!</v>
      </c>
      <c r="AH44" s="1308" t="e">
        <f t="shared" si="7"/>
        <v>#DIV/0!</v>
      </c>
      <c r="AI44" s="1374">
        <f t="array" ref="AI44">IF(SUM(($L44:$Z44)*($L$11:$Z$11)*($L$12:$Z$12=AI$12))&gt;0,100,0)</f>
        <v>0</v>
      </c>
      <c r="AJ44" s="399">
        <f t="array" ref="AJ44">IF(SUM(($L44:$Z44)*($L$11:$Z$11)*($L$12:$Z$12=AJ$12))&gt;0,100,0)</f>
        <v>0</v>
      </c>
      <c r="AK44" s="399">
        <f t="array" ref="AK44">IF(SUM(($L44:$Z44)*($L$11:$Z$11)*($L$12:$Z$12=AK$12))&gt;0,100,0)</f>
        <v>0</v>
      </c>
      <c r="AL44" s="1308">
        <f t="array" ref="AL44">IF(SUM(($L44:$Z44)*($L$11:$Z$11)*($L$12:$Z$12=AL$12))&gt;0,100,0)</f>
        <v>0</v>
      </c>
      <c r="AM44" s="1374" t="str">
        <f t="array" ref="AM44">IF(G44&lt;&gt;0,SUM(($L44:$Z44)*($L$12:$Z$12=AM$12))/G44*100,нет)</f>
        <v>нет</v>
      </c>
      <c r="AN44" s="399" t="str">
        <f t="array" ref="AN44">IF(H44&lt;&gt;0,SUM(($L44:$Z44)*($L$12:$Z$12=AN$12))/H44*100,нет)</f>
        <v>нет</v>
      </c>
      <c r="AO44" s="399" t="str">
        <f t="array" ref="AO44">IF(SUM($I44:$J44)&lt;&gt;0,SUM(($L44:$Z44)*($L$12:$Z$12=AO$12))/SUM($I44:$J44)*100,нет)</f>
        <v>нет</v>
      </c>
      <c r="AP44" s="1308" t="str">
        <f t="array" ref="AP44">IF(K44&lt;&gt;0,SUM(($L44:$Z44)*($L$12:$Z$12=AP$12))/K44*100,нет)</f>
        <v>нет</v>
      </c>
      <c r="AQ44" s="1372">
        <f t="array" ref="AQ44">SUM(($L44:$Z44)*($L$12:$Z$12=AQ$12))</f>
        <v>0</v>
      </c>
      <c r="AR44" s="742">
        <f t="array" ref="AR44">SUM(($L44:$Z44)*($L$12:$Z$12=AR$12))</f>
        <v>0</v>
      </c>
      <c r="AS44" s="742">
        <f t="array" ref="AS44">SUM(($L44:$Z44)*($L$12:$Z$12=AS$12))</f>
        <v>0</v>
      </c>
      <c r="AT44" s="1373">
        <f t="array" ref="AT44">SUM(($L44:$Z44)*($L$12:$Z$12=AT$12))</f>
        <v>0</v>
      </c>
      <c r="AU44" s="376"/>
      <c r="AV44" s="376"/>
      <c r="AW44" s="376"/>
      <c r="AX44" s="182"/>
      <c r="AY44" s="262"/>
    </row>
    <row r="45" spans="1:53" s="372" customFormat="1" ht="15" thickBot="1" x14ac:dyDescent="0.25">
      <c r="A45" s="551" t="str">
        <f>IF(LEN(КАФЕДРА!A45)&gt;2,КАФЕДРА!A45,"")</f>
        <v>Факультетской педиатрии</v>
      </c>
      <c r="B45" s="960" t="str">
        <f>IF(LEN(КАФЕДРА!B45)&gt;2,КАФЕДРА!B45,"")</f>
        <v>Заведующий кафедрой</v>
      </c>
      <c r="C45" s="1386">
        <f>IF(LEN(КАФЕДРА!$A45)&gt;2,КАФЕДРА!C45,0)</f>
        <v>0</v>
      </c>
      <c r="D45" s="1367" t="str">
        <f t="shared" si="5"/>
        <v>нет</v>
      </c>
      <c r="E45" s="719">
        <f>IF($C45=0,0,$F45/$C45)</f>
        <v>0</v>
      </c>
      <c r="F45" s="399">
        <f t="array" ref="F45">SUM(($L45:$Z45)*($L$11:$Z$11))</f>
        <v>0</v>
      </c>
      <c r="G45" s="1870"/>
      <c r="H45" s="1894"/>
      <c r="I45" s="1866"/>
      <c r="J45" s="1394"/>
      <c r="K45" s="1368"/>
      <c r="L45" s="1877"/>
      <c r="M45" s="1876"/>
      <c r="N45" s="1878"/>
      <c r="O45" s="1369"/>
      <c r="P45" s="1399"/>
      <c r="Q45" s="1394"/>
      <c r="R45" s="1394"/>
      <c r="S45" s="1886"/>
      <c r="T45" s="1370"/>
      <c r="U45" s="1371"/>
      <c r="V45" s="1371"/>
      <c r="W45" s="1371"/>
      <c r="X45" s="1371"/>
      <c r="Y45" s="1371"/>
      <c r="Z45" s="1368"/>
      <c r="AA45" s="1372">
        <f t="array" ref="AA45">SUM(($L45:$Z45)*($L$11:$Z$11)*($L$12:$Z$12=AA$12))</f>
        <v>0</v>
      </c>
      <c r="AB45" s="742">
        <f t="array" ref="AB45">SUM(($L45:$Z45)*($L$11:$Z$11)*($L$12:$Z$12=AB$12))</f>
        <v>0</v>
      </c>
      <c r="AC45" s="742">
        <f t="array" ref="AC45">SUM(($L45:$Z45)*($L$11:$Z$11)*($L$12:$Z$12=AC$12))</f>
        <v>0</v>
      </c>
      <c r="AD45" s="1373">
        <f t="array" ref="AD45">SUM(($L45:$Z45)*($L$11:$Z$11)*($L$12:$Z$12=AD$12))</f>
        <v>0</v>
      </c>
      <c r="AE45" s="1374" t="e">
        <f t="shared" si="1"/>
        <v>#DIV/0!</v>
      </c>
      <c r="AF45" s="399" t="e">
        <f t="shared" si="2"/>
        <v>#DIV/0!</v>
      </c>
      <c r="AG45" s="399" t="e">
        <f t="shared" si="3"/>
        <v>#DIV/0!</v>
      </c>
      <c r="AH45" s="1308" t="e">
        <f t="shared" ref="AH45:AH46" si="10">AD45/$C45</f>
        <v>#DIV/0!</v>
      </c>
      <c r="AI45" s="1374">
        <f t="array" ref="AI45">IF(SUM(($L45:$Z45)*($L$11:$Z$11)*($L$12:$Z$12=AI$12))&gt;0,100,0)</f>
        <v>0</v>
      </c>
      <c r="AJ45" s="399">
        <f t="array" ref="AJ45">IF(SUM(($L45:$Z45)*($L$11:$Z$11)*($L$12:$Z$12=AJ$12))&gt;0,100,0)</f>
        <v>0</v>
      </c>
      <c r="AK45" s="399">
        <f t="array" ref="AK45">IF(SUM(($L45:$Z45)*($L$11:$Z$11)*($L$12:$Z$12=AK$12))&gt;0,100,0)</f>
        <v>0</v>
      </c>
      <c r="AL45" s="1308">
        <f t="array" ref="AL45">IF(SUM(($L45:$Z45)*($L$11:$Z$11)*($L$12:$Z$12=AL$12))&gt;0,100,0)</f>
        <v>0</v>
      </c>
      <c r="AM45" s="1374" t="str">
        <f t="array" ref="AM45">IF(G45&lt;&gt;0,SUM(($L45:$Z45)*($L$12:$Z$12=AM$12))/G45*100,нет)</f>
        <v>нет</v>
      </c>
      <c r="AN45" s="399" t="str">
        <f t="array" ref="AN45">IF(H45&lt;&gt;0,SUM(($L45:$Z45)*($L$12:$Z$12=AN$12))/H45*100,нет)</f>
        <v>нет</v>
      </c>
      <c r="AO45" s="399" t="str">
        <f t="array" ref="AO45">IF(SUM($I45:$J45)&lt;&gt;0,SUM(($L45:$Z45)*($L$12:$Z$12=AO$12))/SUM($I45:$J45)*100,нет)</f>
        <v>нет</v>
      </c>
      <c r="AP45" s="1308" t="str">
        <f t="array" ref="AP45">IF(K45&lt;&gt;0,SUM(($L45:$Z45)*($L$12:$Z$12=AP$12))/K45*100,нет)</f>
        <v>нет</v>
      </c>
      <c r="AQ45" s="1372">
        <f t="array" ref="AQ45">SUM(($L45:$Z45)*($L$12:$Z$12=AQ$12))</f>
        <v>0</v>
      </c>
      <c r="AR45" s="742">
        <f t="array" ref="AR45">SUM(($L45:$Z45)*($L$12:$Z$12=AR$12))</f>
        <v>0</v>
      </c>
      <c r="AS45" s="742">
        <f t="array" ref="AS45">SUM(($L45:$Z45)*($L$12:$Z$12=AS$12))</f>
        <v>0</v>
      </c>
      <c r="AT45" s="1373">
        <f t="array" ref="AT45">SUM(($L45:$Z45)*($L$12:$Z$12=AT$12))</f>
        <v>0</v>
      </c>
      <c r="AU45" s="376"/>
      <c r="AV45" s="376"/>
      <c r="AW45" s="376"/>
      <c r="AX45" s="182"/>
      <c r="AY45" s="262"/>
      <c r="AZ45" s="588"/>
    </row>
    <row r="46" spans="1:53" s="371" customFormat="1" x14ac:dyDescent="0.2">
      <c r="A46" s="551" t="str">
        <f>IF(LEN(КАФЕДРА!A46)&gt;2,КАФЕДРА!A46,"")</f>
        <v>Хирургических болезней детского возраста</v>
      </c>
      <c r="B46" s="960" t="str">
        <f>IF(LEN(КАФЕДРА!B46)&gt;2,КАФЕДРА!B46,"")</f>
        <v>Заведующий кафедрой</v>
      </c>
      <c r="C46" s="1386">
        <f>IF(LEN(КАФЕДРА!$A46)&gt;2,КАФЕДРА!C46,0)</f>
        <v>0</v>
      </c>
      <c r="D46" s="1367" t="str">
        <f t="shared" si="5"/>
        <v>нет</v>
      </c>
      <c r="E46" s="719">
        <f>IF($C46=0,0,$F46/$C46)</f>
        <v>0</v>
      </c>
      <c r="F46" s="399">
        <f t="array" ref="F46">SUM(($L46:$Z46)*($L$11:$Z$11))</f>
        <v>0</v>
      </c>
      <c r="G46" s="1870"/>
      <c r="H46" s="1894"/>
      <c r="I46" s="1866"/>
      <c r="J46" s="1394"/>
      <c r="K46" s="1368"/>
      <c r="L46" s="1877"/>
      <c r="M46" s="1876"/>
      <c r="N46" s="1878"/>
      <c r="O46" s="1369"/>
      <c r="P46" s="1399"/>
      <c r="Q46" s="1394"/>
      <c r="R46" s="1394"/>
      <c r="S46" s="1886"/>
      <c r="T46" s="1370"/>
      <c r="U46" s="1371"/>
      <c r="V46" s="1371"/>
      <c r="W46" s="1371"/>
      <c r="X46" s="1371"/>
      <c r="Y46" s="1371"/>
      <c r="Z46" s="1368"/>
      <c r="AA46" s="1372">
        <f t="array" ref="AA46">SUM(($L46:$Z46)*($L$11:$Z$11)*($L$12:$Z$12=AA$12))</f>
        <v>0</v>
      </c>
      <c r="AB46" s="742">
        <f t="array" ref="AB46">SUM(($L46:$Z46)*($L$11:$Z$11)*($L$12:$Z$12=AB$12))</f>
        <v>0</v>
      </c>
      <c r="AC46" s="742">
        <f t="array" ref="AC46">SUM(($L46:$Z46)*($L$11:$Z$11)*($L$12:$Z$12=AC$12))</f>
        <v>0</v>
      </c>
      <c r="AD46" s="1373">
        <f t="array" ref="AD46">SUM(($L46:$Z46)*($L$11:$Z$11)*($L$12:$Z$12=AD$12))</f>
        <v>0</v>
      </c>
      <c r="AE46" s="1374" t="e">
        <f t="shared" si="1"/>
        <v>#DIV/0!</v>
      </c>
      <c r="AF46" s="399" t="e">
        <f t="shared" si="2"/>
        <v>#DIV/0!</v>
      </c>
      <c r="AG46" s="399" t="e">
        <f t="shared" si="3"/>
        <v>#DIV/0!</v>
      </c>
      <c r="AH46" s="1308" t="e">
        <f t="shared" si="10"/>
        <v>#DIV/0!</v>
      </c>
      <c r="AI46" s="1374">
        <f t="array" ref="AI46">IF(SUM(($L46:$Z46)*($L$11:$Z$11)*($L$12:$Z$12=AI$12))&gt;0,100,0)</f>
        <v>0</v>
      </c>
      <c r="AJ46" s="399">
        <f t="array" ref="AJ46">IF(SUM(($L46:$Z46)*($L$11:$Z$11)*($L$12:$Z$12=AJ$12))&gt;0,100,0)</f>
        <v>0</v>
      </c>
      <c r="AK46" s="399">
        <f t="array" ref="AK46">IF(SUM(($L46:$Z46)*($L$11:$Z$11)*($L$12:$Z$12=AK$12))&gt;0,100,0)</f>
        <v>0</v>
      </c>
      <c r="AL46" s="1308">
        <f t="array" ref="AL46">IF(SUM(($L46:$Z46)*($L$11:$Z$11)*($L$12:$Z$12=AL$12))&gt;0,100,0)</f>
        <v>0</v>
      </c>
      <c r="AM46" s="1374" t="str">
        <f t="array" ref="AM46">IF(G46&lt;&gt;0,SUM(($L46:$Z46)*($L$12:$Z$12=AM$12))/G46*100,нет)</f>
        <v>нет</v>
      </c>
      <c r="AN46" s="399" t="str">
        <f t="array" ref="AN46">IF(H46&lt;&gt;0,SUM(($L46:$Z46)*($L$12:$Z$12=AN$12))/H46*100,нет)</f>
        <v>нет</v>
      </c>
      <c r="AO46" s="399" t="str">
        <f t="array" ref="AO46">IF(SUM($I46:$J46)&lt;&gt;0,SUM(($L46:$Z46)*($L$12:$Z$12=AO$12))/SUM($I46:$J46)*100,нет)</f>
        <v>нет</v>
      </c>
      <c r="AP46" s="1308" t="str">
        <f t="array" ref="AP46">IF(K46&lt;&gt;0,SUM(($L46:$Z46)*($L$12:$Z$12=AP$12))/K46*100,нет)</f>
        <v>нет</v>
      </c>
      <c r="AQ46" s="1372">
        <f t="array" ref="AQ46">SUM(($L46:$Z46)*($L$12:$Z$12=AQ$12))</f>
        <v>0</v>
      </c>
      <c r="AR46" s="742">
        <f t="array" ref="AR46">SUM(($L46:$Z46)*($L$12:$Z$12=AR$12))</f>
        <v>0</v>
      </c>
      <c r="AS46" s="742">
        <f t="array" ref="AS46">SUM(($L46:$Z46)*($L$12:$Z$12=AS$12))</f>
        <v>0</v>
      </c>
      <c r="AT46" s="1373">
        <f t="array" ref="AT46">SUM(($L46:$Z46)*($L$12:$Z$12=AT$12))</f>
        <v>0</v>
      </c>
      <c r="AU46" s="376"/>
      <c r="AV46" s="376"/>
      <c r="AW46" s="376"/>
      <c r="AX46" s="182"/>
      <c r="AY46" s="262"/>
      <c r="AZ46" s="372"/>
      <c r="BA46" s="591"/>
    </row>
    <row r="47" spans="1:53" s="372" customFormat="1" ht="15" thickBot="1" x14ac:dyDescent="0.25">
      <c r="A47" s="1172" t="str">
        <f>IF(LEN(КАФЕДРА!A47)&gt;2,КАФЕДРА!A47,"")</f>
        <v>Клинической фармакологии</v>
      </c>
      <c r="B47" s="1174" t="str">
        <f>IF(LEN(КАФЕДРА!B47)&gt;2,КАФЕДРА!B47,"")</f>
        <v>Заведующий кафедрой</v>
      </c>
      <c r="C47" s="1387">
        <f>IF(LEN(КАФЕДРА!$A47)&gt;2,КАФЕДРА!C47,0)</f>
        <v>0</v>
      </c>
      <c r="D47" s="1367" t="str">
        <f t="shared" si="5"/>
        <v>нет</v>
      </c>
      <c r="E47" s="1375">
        <f>IF($C47=0,0,$F47/$C47)</f>
        <v>0</v>
      </c>
      <c r="F47" s="1200">
        <f t="array" ref="F47">SUM(($L47:$Z47)*($L$11:$Z$11))</f>
        <v>0</v>
      </c>
      <c r="G47" s="1871"/>
      <c r="H47" s="1895"/>
      <c r="I47" s="1867"/>
      <c r="J47" s="1396"/>
      <c r="K47" s="1376"/>
      <c r="L47" s="1880"/>
      <c r="M47" s="1879"/>
      <c r="N47" s="1881"/>
      <c r="O47" s="1377"/>
      <c r="P47" s="1400"/>
      <c r="Q47" s="1396"/>
      <c r="R47" s="1396"/>
      <c r="S47" s="1887"/>
      <c r="T47" s="1378"/>
      <c r="U47" s="1379"/>
      <c r="V47" s="1379"/>
      <c r="W47" s="1379"/>
      <c r="X47" s="1379"/>
      <c r="Y47" s="1379"/>
      <c r="Z47" s="1388"/>
      <c r="AA47" s="1380">
        <f t="array" ref="AA47">SUM(($L47:$Z47)*($L$11:$Z$11)*($L$12:$Z$12=AA$12))</f>
        <v>0</v>
      </c>
      <c r="AB47" s="1381">
        <f t="array" ref="AB47">SUM(($L47:$Z47)*($L$11:$Z$11)*($L$12:$Z$12=AB$12))</f>
        <v>0</v>
      </c>
      <c r="AC47" s="1381">
        <f t="array" ref="AC47">SUM(($L47:$Z47)*($L$11:$Z$11)*($L$12:$Z$12=AC$12))</f>
        <v>0</v>
      </c>
      <c r="AD47" s="1382">
        <f t="array" ref="AD47">SUM(($L47:$Z47)*($L$11:$Z$11)*($L$12:$Z$12=AD$12))</f>
        <v>0</v>
      </c>
      <c r="AE47" s="1383" t="e">
        <f t="shared" si="1"/>
        <v>#DIV/0!</v>
      </c>
      <c r="AF47" s="1200" t="e">
        <f t="shared" si="2"/>
        <v>#DIV/0!</v>
      </c>
      <c r="AG47" s="1200" t="e">
        <f t="shared" si="3"/>
        <v>#DIV/0!</v>
      </c>
      <c r="AH47" s="1384" t="e">
        <f t="shared" ref="AH47" si="11">AD47/$C47</f>
        <v>#DIV/0!</v>
      </c>
      <c r="AI47" s="1383">
        <f t="array" ref="AI47">IF(SUM(($L47:$Z47)*($L$11:$Z$11)*($L$12:$Z$12=AI$12))&gt;0,100,0)</f>
        <v>0</v>
      </c>
      <c r="AJ47" s="1200">
        <f t="array" ref="AJ47">IF(SUM(($L47:$Z47)*($L$11:$Z$11)*($L$12:$Z$12=AJ$12))&gt;0,100,0)</f>
        <v>0</v>
      </c>
      <c r="AK47" s="1200">
        <f t="array" ref="AK47">IF(SUM(($L47:$Z47)*($L$11:$Z$11)*($L$12:$Z$12=AK$12))&gt;0,100,0)</f>
        <v>0</v>
      </c>
      <c r="AL47" s="1384">
        <f t="array" ref="AL47">IF(SUM(($L47:$Z47)*($L$11:$Z$11)*($L$12:$Z$12=AL$12))&gt;0,100,0)</f>
        <v>0</v>
      </c>
      <c r="AM47" s="1383" t="str">
        <f t="array" ref="AM47">IF(G47&lt;&gt;0,SUM(($L47:$Z47)*($L$12:$Z$12=AM$12))/G47*100,нет)</f>
        <v>нет</v>
      </c>
      <c r="AN47" s="1200" t="str">
        <f t="array" ref="AN47">IF(H47&lt;&gt;0,SUM(($L47:$Z47)*($L$12:$Z$12=AN$12))/H47*100,нет)</f>
        <v>нет</v>
      </c>
      <c r="AO47" s="1200" t="str">
        <f t="array" ref="AO47">IF(SUM($I47:$J47)&lt;&gt;0,SUM(($L47:$Z47)*($L$12:$Z$12=AO$12))/SUM($I47:$J47)*100,нет)</f>
        <v>нет</v>
      </c>
      <c r="AP47" s="1384" t="str">
        <f t="array" ref="AP47">IF(K47&lt;&gt;0,SUM(($L47:$Z47)*($L$12:$Z$12=AP$12))/K47*100,нет)</f>
        <v>нет</v>
      </c>
      <c r="AQ47" s="1380">
        <f t="array" ref="AQ47">SUM(($L47:$Z47)*($L$12:$Z$12=AQ$12))</f>
        <v>0</v>
      </c>
      <c r="AR47" s="1381">
        <f t="array" ref="AR47">SUM(($L47:$Z47)*($L$12:$Z$12=AR$12))</f>
        <v>0</v>
      </c>
      <c r="AS47" s="1381">
        <f t="array" ref="AS47">SUM(($L47:$Z47)*($L$12:$Z$12=AS$12))</f>
        <v>0</v>
      </c>
      <c r="AT47" s="1382">
        <f t="array" ref="AT47">SUM(($L47:$Z47)*($L$12:$Z$12=AT$12))</f>
        <v>0</v>
      </c>
      <c r="AU47" s="376"/>
      <c r="AV47" s="376"/>
      <c r="AW47" s="376"/>
      <c r="AX47" s="767"/>
      <c r="AY47" s="262"/>
    </row>
    <row r="48" spans="1:53" s="371" customFormat="1" x14ac:dyDescent="0.2">
      <c r="A48" s="582" t="str">
        <f>IF(LEN(КАФЕДРА!A48)&gt;2,КАФЕДРА!A48,"")</f>
        <v>Ортопедической стоматологии</v>
      </c>
      <c r="B48" s="370" t="str">
        <f>IF(LEN(КАФЕДРА!B48)&gt;2,КАФЕДРА!B48,"")</f>
        <v>Заведующий кафедрой</v>
      </c>
      <c r="C48" s="1181">
        <f>IF(LEN(КАФЕДРА!$A48)&gt;2,КАФЕДРА!C48,0)</f>
        <v>0</v>
      </c>
      <c r="D48" s="1367" t="str">
        <f t="shared" si="5"/>
        <v>нет</v>
      </c>
      <c r="E48" s="1360">
        <f t="shared" si="6"/>
        <v>0</v>
      </c>
      <c r="F48" s="1205">
        <f t="array" ref="F48">SUM(($L48:$Z48)*($L$11:$Z$11))</f>
        <v>0</v>
      </c>
      <c r="G48" s="1869"/>
      <c r="H48" s="1892"/>
      <c r="I48" s="1865"/>
      <c r="J48" s="1395"/>
      <c r="K48" s="1361"/>
      <c r="L48" s="1874"/>
      <c r="M48" s="1873"/>
      <c r="N48" s="1875"/>
      <c r="O48" s="1893"/>
      <c r="P48" s="1398"/>
      <c r="Q48" s="1395"/>
      <c r="R48" s="1395"/>
      <c r="S48" s="1885"/>
      <c r="T48" s="1362"/>
      <c r="U48" s="1363"/>
      <c r="V48" s="1363"/>
      <c r="W48" s="1363"/>
      <c r="X48" s="1363"/>
      <c r="Y48" s="1363"/>
      <c r="Z48" s="1361"/>
      <c r="AA48" s="1364">
        <f t="array" ref="AA48">SUM(($L48:$Z48)*($L$11:$Z$11)*($L$12:$Z$12=AA$12))</f>
        <v>0</v>
      </c>
      <c r="AB48" s="1287">
        <f t="array" ref="AB48">SUM(($L48:$Z48)*($L$11:$Z$11)*($L$12:$Z$12=AB$12))</f>
        <v>0</v>
      </c>
      <c r="AC48" s="1287">
        <f t="array" ref="AC48">SUM(($L48:$Z48)*($L$11:$Z$11)*($L$12:$Z$12=AC$12))</f>
        <v>0</v>
      </c>
      <c r="AD48" s="1365">
        <f t="array" ref="AD48">SUM(($L48:$Z48)*($L$11:$Z$11)*($L$12:$Z$12=AD$12))</f>
        <v>0</v>
      </c>
      <c r="AE48" s="1366" t="e">
        <f t="shared" si="1"/>
        <v>#DIV/0!</v>
      </c>
      <c r="AF48" s="1205" t="e">
        <f t="shared" si="2"/>
        <v>#DIV/0!</v>
      </c>
      <c r="AG48" s="1205" t="e">
        <f t="shared" si="3"/>
        <v>#DIV/0!</v>
      </c>
      <c r="AH48" s="1288" t="e">
        <f t="shared" si="7"/>
        <v>#DIV/0!</v>
      </c>
      <c r="AI48" s="1366">
        <f t="array" ref="AI48">IF(SUM(($L48:$Z48)*($L$11:$Z$11)*($L$12:$Z$12=AI$12))&gt;0,100,0)</f>
        <v>0</v>
      </c>
      <c r="AJ48" s="1205">
        <f t="array" ref="AJ48">IF(SUM(($L48:$Z48)*($L$11:$Z$11)*($L$12:$Z$12=AJ$12))&gt;0,100,0)</f>
        <v>0</v>
      </c>
      <c r="AK48" s="1205">
        <f t="array" ref="AK48">IF(SUM(($L48:$Z48)*($L$11:$Z$11)*($L$12:$Z$12=AK$12))&gt;0,100,0)</f>
        <v>0</v>
      </c>
      <c r="AL48" s="1288">
        <f t="array" ref="AL48">IF(SUM(($L48:$Z48)*($L$11:$Z$11)*($L$12:$Z$12=AL$12))&gt;0,100,0)</f>
        <v>0</v>
      </c>
      <c r="AM48" s="1366" t="str">
        <f t="array" ref="AM48">IF(G48&lt;&gt;0,SUM(($L48:$Z48)*($L$12:$Z$12=AM$12))/G48*100,нет)</f>
        <v>нет</v>
      </c>
      <c r="AN48" s="1205" t="str">
        <f t="array" ref="AN48">IF(H48&lt;&gt;0,SUM(($L48:$Z48)*($L$12:$Z$12=AN$12))/H48*100,нет)</f>
        <v>нет</v>
      </c>
      <c r="AO48" s="1205" t="str">
        <f t="array" ref="AO48">IF(SUM($I48:$J48)&lt;&gt;0,SUM(($L48:$Z48)*($L$12:$Z$12=AO$12))/SUM($I48:$J48)*100,нет)</f>
        <v>нет</v>
      </c>
      <c r="AP48" s="1288" t="str">
        <f t="array" ref="AP48">IF(K48&lt;&gt;0,SUM(($L48:$Z48)*($L$12:$Z$12=AP$12))/K48*100,нет)</f>
        <v>нет</v>
      </c>
      <c r="AQ48" s="1364">
        <f t="array" ref="AQ48">SUM(($L48:$Z48)*($L$12:$Z$12=AQ$12))</f>
        <v>0</v>
      </c>
      <c r="AR48" s="1287">
        <f t="array" ref="AR48">SUM(($L48:$Z48)*($L$12:$Z$12=AR$12))</f>
        <v>0</v>
      </c>
      <c r="AS48" s="1287">
        <f t="array" ref="AS48">SUM(($L48:$Z48)*($L$12:$Z$12=AS$12))</f>
        <v>0</v>
      </c>
      <c r="AT48" s="1365">
        <f t="array" ref="AT48">SUM(($L48:$Z48)*($L$12:$Z$12=AT$12))</f>
        <v>0</v>
      </c>
      <c r="AU48" s="1126"/>
      <c r="AV48" s="1126"/>
      <c r="AW48" s="1126"/>
      <c r="AY48" s="1127"/>
    </row>
    <row r="49" spans="1:53" x14ac:dyDescent="0.2">
      <c r="A49" s="551" t="str">
        <f>IF(LEN(КАФЕДРА!A49)&gt;2,КАФЕДРА!A49,"")</f>
        <v>Стоматологии детского возраста</v>
      </c>
      <c r="B49" s="960" t="str">
        <f>IF(LEN(КАФЕДРА!B49)&gt;2,КАФЕДРА!B49,"")</f>
        <v>Заведующий кафедрой</v>
      </c>
      <c r="C49" s="789">
        <f>IF(LEN(КАФЕДРА!$A49)&gt;2,КАФЕДРА!C49,0)</f>
        <v>0</v>
      </c>
      <c r="D49" s="1367" t="str">
        <f t="shared" si="5"/>
        <v>нет</v>
      </c>
      <c r="E49" s="719">
        <f t="shared" si="6"/>
        <v>0</v>
      </c>
      <c r="F49" s="399">
        <f t="array" ref="F49">SUM(($L49:$Z49)*($L$11:$Z$11))</f>
        <v>0</v>
      </c>
      <c r="G49" s="1870"/>
      <c r="H49" s="1894"/>
      <c r="I49" s="1866"/>
      <c r="J49" s="1394"/>
      <c r="K49" s="1368"/>
      <c r="L49" s="1877"/>
      <c r="M49" s="1876"/>
      <c r="N49" s="1878"/>
      <c r="O49" s="1369"/>
      <c r="P49" s="1399"/>
      <c r="Q49" s="1394"/>
      <c r="R49" s="1394"/>
      <c r="S49" s="1886"/>
      <c r="T49" s="1370"/>
      <c r="U49" s="1371"/>
      <c r="V49" s="1371"/>
      <c r="W49" s="1371"/>
      <c r="X49" s="1371"/>
      <c r="Y49" s="1371"/>
      <c r="Z49" s="1368"/>
      <c r="AA49" s="1372">
        <f t="array" ref="AA49">SUM(($L49:$Z49)*($L$11:$Z$11)*($L$12:$Z$12=AA$12))</f>
        <v>0</v>
      </c>
      <c r="AB49" s="742">
        <f t="array" ref="AB49">SUM(($L49:$Z49)*($L$11:$Z$11)*($L$12:$Z$12=AB$12))</f>
        <v>0</v>
      </c>
      <c r="AC49" s="742">
        <f t="array" ref="AC49">SUM(($L49:$Z49)*($L$11:$Z$11)*($L$12:$Z$12=AC$12))</f>
        <v>0</v>
      </c>
      <c r="AD49" s="1373">
        <f t="array" ref="AD49">SUM(($L49:$Z49)*($L$11:$Z$11)*($L$12:$Z$12=AD$12))</f>
        <v>0</v>
      </c>
      <c r="AE49" s="1374" t="e">
        <f t="shared" si="1"/>
        <v>#DIV/0!</v>
      </c>
      <c r="AF49" s="399" t="e">
        <f t="shared" si="2"/>
        <v>#DIV/0!</v>
      </c>
      <c r="AG49" s="399" t="e">
        <f t="shared" si="3"/>
        <v>#DIV/0!</v>
      </c>
      <c r="AH49" s="1308" t="e">
        <f t="shared" si="7"/>
        <v>#DIV/0!</v>
      </c>
      <c r="AI49" s="1374">
        <f t="array" ref="AI49">IF(SUM(($L49:$Z49)*($L$11:$Z$11)*($L$12:$Z$12=AI$12))&gt;0,100,0)</f>
        <v>0</v>
      </c>
      <c r="AJ49" s="399">
        <f t="array" ref="AJ49">IF(SUM(($L49:$Z49)*($L$11:$Z$11)*($L$12:$Z$12=AJ$12))&gt;0,100,0)</f>
        <v>0</v>
      </c>
      <c r="AK49" s="399">
        <f t="array" ref="AK49">IF(SUM(($L49:$Z49)*($L$11:$Z$11)*($L$12:$Z$12=AK$12))&gt;0,100,0)</f>
        <v>0</v>
      </c>
      <c r="AL49" s="1308">
        <f t="array" ref="AL49">IF(SUM(($L49:$Z49)*($L$11:$Z$11)*($L$12:$Z$12=AL$12))&gt;0,100,0)</f>
        <v>0</v>
      </c>
      <c r="AM49" s="1374" t="str">
        <f t="array" ref="AM49">IF(G49&lt;&gt;0,SUM(($L49:$Z49)*($L$12:$Z$12=AM$12))/G49*100,нет)</f>
        <v>нет</v>
      </c>
      <c r="AN49" s="399" t="str">
        <f t="array" ref="AN49">IF(H49&lt;&gt;0,SUM(($L49:$Z49)*($L$12:$Z$12=AN$12))/H49*100,нет)</f>
        <v>нет</v>
      </c>
      <c r="AO49" s="399" t="str">
        <f t="array" ref="AO49">IF(SUM($I49:$J49)&lt;&gt;0,SUM(($L49:$Z49)*($L$12:$Z$12=AO$12))/SUM($I49:$J49)*100,нет)</f>
        <v>нет</v>
      </c>
      <c r="AP49" s="1308" t="str">
        <f t="array" ref="AP49">IF(K49&lt;&gt;0,SUM(($L49:$Z49)*($L$12:$Z$12=AP$12))/K49*100,нет)</f>
        <v>нет</v>
      </c>
      <c r="AQ49" s="1372">
        <f t="array" ref="AQ49">SUM(($L49:$Z49)*($L$12:$Z$12=AQ$12))</f>
        <v>0</v>
      </c>
      <c r="AR49" s="742">
        <f t="array" ref="AR49">SUM(($L49:$Z49)*($L$12:$Z$12=AR$12))</f>
        <v>0</v>
      </c>
      <c r="AS49" s="742">
        <f t="array" ref="AS49">SUM(($L49:$Z49)*($L$12:$Z$12=AS$12))</f>
        <v>0</v>
      </c>
      <c r="AT49" s="1373">
        <f t="array" ref="AT49">SUM(($L49:$Z49)*($L$12:$Z$12=AT$12))</f>
        <v>0</v>
      </c>
      <c r="AU49" s="376"/>
      <c r="AV49" s="376"/>
      <c r="AW49" s="376"/>
      <c r="AY49" s="262"/>
    </row>
    <row r="50" spans="1:53" x14ac:dyDescent="0.2">
      <c r="A50" s="551" t="str">
        <f>IF(LEN(КАФЕДРА!A50)&gt;2,КАФЕДРА!A50,"")</f>
        <v>Терапевтической стоматологии</v>
      </c>
      <c r="B50" s="960" t="str">
        <f>IF(LEN(КАФЕДРА!B50)&gt;2,КАФЕДРА!B50,"")</f>
        <v>Заведующий кафедрой</v>
      </c>
      <c r="C50" s="789">
        <f>IF(LEN(КАФЕДРА!$A50)&gt;2,КАФЕДРА!C50,0)</f>
        <v>0</v>
      </c>
      <c r="D50" s="1367" t="str">
        <f t="shared" si="5"/>
        <v>нет</v>
      </c>
      <c r="E50" s="719">
        <f t="shared" si="6"/>
        <v>0</v>
      </c>
      <c r="F50" s="399">
        <f t="array" ref="F50">SUM(($L50:$Z50)*($L$11:$Z$11))</f>
        <v>0</v>
      </c>
      <c r="G50" s="1870"/>
      <c r="H50" s="1894"/>
      <c r="I50" s="1866"/>
      <c r="J50" s="1394"/>
      <c r="K50" s="1368"/>
      <c r="L50" s="1877"/>
      <c r="M50" s="1876"/>
      <c r="N50" s="1878"/>
      <c r="O50" s="1369"/>
      <c r="P50" s="1399"/>
      <c r="Q50" s="1394"/>
      <c r="R50" s="1394"/>
      <c r="S50" s="1886"/>
      <c r="T50" s="1370"/>
      <c r="U50" s="1371"/>
      <c r="V50" s="1371"/>
      <c r="W50" s="1371"/>
      <c r="X50" s="1371"/>
      <c r="Y50" s="1371"/>
      <c r="Z50" s="1368"/>
      <c r="AA50" s="1372">
        <f t="array" ref="AA50">SUM(($L50:$Z50)*($L$11:$Z$11)*($L$12:$Z$12=AA$12))</f>
        <v>0</v>
      </c>
      <c r="AB50" s="742">
        <f t="array" ref="AB50">SUM(($L50:$Z50)*($L$11:$Z$11)*($L$12:$Z$12=AB$12))</f>
        <v>0</v>
      </c>
      <c r="AC50" s="742">
        <f t="array" ref="AC50">SUM(($L50:$Z50)*($L$11:$Z$11)*($L$12:$Z$12=AC$12))</f>
        <v>0</v>
      </c>
      <c r="AD50" s="1373">
        <f t="array" ref="AD50">SUM(($L50:$Z50)*($L$11:$Z$11)*($L$12:$Z$12=AD$12))</f>
        <v>0</v>
      </c>
      <c r="AE50" s="1374" t="e">
        <f t="shared" si="1"/>
        <v>#DIV/0!</v>
      </c>
      <c r="AF50" s="399" t="e">
        <f t="shared" si="2"/>
        <v>#DIV/0!</v>
      </c>
      <c r="AG50" s="399" t="e">
        <f t="shared" si="3"/>
        <v>#DIV/0!</v>
      </c>
      <c r="AH50" s="1308" t="e">
        <f t="shared" si="7"/>
        <v>#DIV/0!</v>
      </c>
      <c r="AI50" s="1374">
        <f t="array" ref="AI50">IF(SUM(($L50:$Z50)*($L$11:$Z$11)*($L$12:$Z$12=AI$12))&gt;0,100,0)</f>
        <v>0</v>
      </c>
      <c r="AJ50" s="399">
        <f t="array" ref="AJ50">IF(SUM(($L50:$Z50)*($L$11:$Z$11)*($L$12:$Z$12=AJ$12))&gt;0,100,0)</f>
        <v>0</v>
      </c>
      <c r="AK50" s="399">
        <f t="array" ref="AK50">IF(SUM(($L50:$Z50)*($L$11:$Z$11)*($L$12:$Z$12=AK$12))&gt;0,100,0)</f>
        <v>0</v>
      </c>
      <c r="AL50" s="1308">
        <f t="array" ref="AL50">IF(SUM(($L50:$Z50)*($L$11:$Z$11)*($L$12:$Z$12=AL$12))&gt;0,100,0)</f>
        <v>0</v>
      </c>
      <c r="AM50" s="1374" t="str">
        <f t="array" ref="AM50">IF(G50&lt;&gt;0,SUM(($L50:$Z50)*($L$12:$Z$12=AM$12))/G50*100,нет)</f>
        <v>нет</v>
      </c>
      <c r="AN50" s="399" t="str">
        <f t="array" ref="AN50">IF(H50&lt;&gt;0,SUM(($L50:$Z50)*($L$12:$Z$12=AN$12))/H50*100,нет)</f>
        <v>нет</v>
      </c>
      <c r="AO50" s="399" t="str">
        <f t="array" ref="AO50">IF(SUM($I50:$J50)&lt;&gt;0,SUM(($L50:$Z50)*($L$12:$Z$12=AO$12))/SUM($I50:$J50)*100,нет)</f>
        <v>нет</v>
      </c>
      <c r="AP50" s="1308" t="str">
        <f t="array" ref="AP50">IF(K50&lt;&gt;0,SUM(($L50:$Z50)*($L$12:$Z$12=AP$12))/K50*100,нет)</f>
        <v>нет</v>
      </c>
      <c r="AQ50" s="1372">
        <f t="array" ref="AQ50">SUM(($L50:$Z50)*($L$12:$Z$12=AQ$12))</f>
        <v>0</v>
      </c>
      <c r="AR50" s="742">
        <f t="array" ref="AR50">SUM(($L50:$Z50)*($L$12:$Z$12=AR$12))</f>
        <v>0</v>
      </c>
      <c r="AS50" s="742">
        <f t="array" ref="AS50">SUM(($L50:$Z50)*($L$12:$Z$12=AS$12))</f>
        <v>0</v>
      </c>
      <c r="AT50" s="1373">
        <f t="array" ref="AT50">SUM(($L50:$Z50)*($L$12:$Z$12=AT$12))</f>
        <v>0</v>
      </c>
      <c r="AU50" s="376"/>
      <c r="AV50" s="376"/>
      <c r="AW50" s="376"/>
      <c r="AY50" s="262"/>
    </row>
    <row r="51" spans="1:53" s="285" customFormat="1" ht="15" thickBot="1" x14ac:dyDescent="0.25">
      <c r="A51" s="551" t="str">
        <f>IF(LEN(КАФЕДРА!A51)&gt;2,КАФЕДРА!A51,"")</f>
        <v>Физической культуры и здорового образа жизни</v>
      </c>
      <c r="B51" s="960" t="str">
        <f>IF(LEN(КАФЕДРА!B51)&gt;2,КАФЕДРА!B51,"")</f>
        <v>Заведующий кафедрой</v>
      </c>
      <c r="C51" s="789">
        <f>IF(LEN(КАФЕДРА!$A51)&gt;2,КАФЕДРА!C51,0)</f>
        <v>0</v>
      </c>
      <c r="D51" s="1367" t="str">
        <f t="shared" si="5"/>
        <v>нет</v>
      </c>
      <c r="E51" s="719">
        <f>IF($C51=0,0,$F51/$C51)</f>
        <v>0</v>
      </c>
      <c r="F51" s="399">
        <f t="array" ref="F51">SUM(($L51:$Z51)*($L$11:$Z$11))</f>
        <v>0</v>
      </c>
      <c r="G51" s="1870"/>
      <c r="H51" s="1894"/>
      <c r="I51" s="1866"/>
      <c r="J51" s="1394"/>
      <c r="K51" s="1368"/>
      <c r="L51" s="1877"/>
      <c r="M51" s="1876"/>
      <c r="N51" s="1878"/>
      <c r="O51" s="1369"/>
      <c r="P51" s="1399"/>
      <c r="Q51" s="1394"/>
      <c r="R51" s="1394"/>
      <c r="S51" s="1886"/>
      <c r="T51" s="1370"/>
      <c r="U51" s="1371"/>
      <c r="V51" s="1371"/>
      <c r="W51" s="1371"/>
      <c r="X51" s="1371"/>
      <c r="Y51" s="1371"/>
      <c r="Z51" s="1368"/>
      <c r="AA51" s="1372">
        <f t="array" ref="AA51">SUM(($L51:$Z51)*($L$11:$Z$11)*($L$12:$Z$12=AA$12))</f>
        <v>0</v>
      </c>
      <c r="AB51" s="742">
        <f t="array" ref="AB51">SUM(($L51:$Z51)*($L$11:$Z$11)*($L$12:$Z$12=AB$12))</f>
        <v>0</v>
      </c>
      <c r="AC51" s="742">
        <f t="array" ref="AC51">SUM(($L51:$Z51)*($L$11:$Z$11)*($L$12:$Z$12=AC$12))</f>
        <v>0</v>
      </c>
      <c r="AD51" s="1373">
        <f t="array" ref="AD51">SUM(($L51:$Z51)*($L$11:$Z$11)*($L$12:$Z$12=AD$12))</f>
        <v>0</v>
      </c>
      <c r="AE51" s="1374" t="e">
        <f t="shared" ref="AE51:AE72" si="12">AA51/$C51</f>
        <v>#DIV/0!</v>
      </c>
      <c r="AF51" s="399" t="e">
        <f t="shared" ref="AF51:AF72" si="13">AB51/$C51</f>
        <v>#DIV/0!</v>
      </c>
      <c r="AG51" s="399" t="e">
        <f t="shared" ref="AG51:AG72" si="14">AC51/$C51</f>
        <v>#DIV/0!</v>
      </c>
      <c r="AH51" s="1308" t="e">
        <f t="shared" si="7"/>
        <v>#DIV/0!</v>
      </c>
      <c r="AI51" s="1374">
        <f t="array" ref="AI51">IF(SUM(($L51:$Z51)*($L$11:$Z$11)*($L$12:$Z$12=AI$12))&gt;0,100,0)</f>
        <v>0</v>
      </c>
      <c r="AJ51" s="399">
        <f t="array" ref="AJ51">IF(SUM(($L51:$Z51)*($L$11:$Z$11)*($L$12:$Z$12=AJ$12))&gt;0,100,0)</f>
        <v>0</v>
      </c>
      <c r="AK51" s="399">
        <f t="array" ref="AK51">IF(SUM(($L51:$Z51)*($L$11:$Z$11)*($L$12:$Z$12=AK$12))&gt;0,100,0)</f>
        <v>0</v>
      </c>
      <c r="AL51" s="1308">
        <f t="array" ref="AL51">IF(SUM(($L51:$Z51)*($L$11:$Z$11)*($L$12:$Z$12=AL$12))&gt;0,100,0)</f>
        <v>0</v>
      </c>
      <c r="AM51" s="1374" t="str">
        <f t="array" ref="AM51">IF(G51&lt;&gt;0,SUM(($L51:$Z51)*($L$12:$Z$12=AM$12))/G51*100,нет)</f>
        <v>нет</v>
      </c>
      <c r="AN51" s="399" t="str">
        <f t="array" ref="AN51">IF(H51&lt;&gt;0,SUM(($L51:$Z51)*($L$12:$Z$12=AN$12))/H51*100,нет)</f>
        <v>нет</v>
      </c>
      <c r="AO51" s="399" t="str">
        <f t="array" ref="AO51">IF(SUM($I51:$J51)&lt;&gt;0,SUM(($L51:$Z51)*($L$12:$Z$12=AO$12))/SUM($I51:$J51)*100,нет)</f>
        <v>нет</v>
      </c>
      <c r="AP51" s="1308" t="str">
        <f t="array" ref="AP51">IF(K51&lt;&gt;0,SUM(($L51:$Z51)*($L$12:$Z$12=AP$12))/K51*100,нет)</f>
        <v>нет</v>
      </c>
      <c r="AQ51" s="1372">
        <f t="array" ref="AQ51">SUM(($L51:$Z51)*($L$12:$Z$12=AQ$12))</f>
        <v>0</v>
      </c>
      <c r="AR51" s="742">
        <f t="array" ref="AR51">SUM(($L51:$Z51)*($L$12:$Z$12=AR$12))</f>
        <v>0</v>
      </c>
      <c r="AS51" s="742">
        <f t="array" ref="AS51">SUM(($L51:$Z51)*($L$12:$Z$12=AS$12))</f>
        <v>0</v>
      </c>
      <c r="AT51" s="1373">
        <f t="array" ref="AT51">SUM(($L51:$Z51)*($L$12:$Z$12=AT$12))</f>
        <v>0</v>
      </c>
      <c r="AU51" s="376"/>
      <c r="AV51" s="376"/>
      <c r="AW51" s="376"/>
      <c r="AX51" s="182"/>
      <c r="AY51" s="262"/>
      <c r="AZ51" s="372"/>
      <c r="BA51" s="372"/>
    </row>
    <row r="52" spans="1:53" ht="15" thickBot="1" x14ac:dyDescent="0.25">
      <c r="A52" s="1172" t="str">
        <f>IF(LEN(КАФЕДРА!A52)&gt;2,КАФЕДРА!A52,"")</f>
        <v>Хирургической стоматологии, челюстно-лицевой хирургии</v>
      </c>
      <c r="B52" s="1174" t="str">
        <f>IF(LEN(КАФЕДРА!B52)&gt;2,КАФЕДРА!B52,"")</f>
        <v>Заведующий кафедрой</v>
      </c>
      <c r="C52" s="1182">
        <f>IF(LEN(КАФЕДРА!$A52)&gt;2,КАФЕДРА!C52,0)</f>
        <v>0</v>
      </c>
      <c r="D52" s="1367" t="str">
        <f t="shared" ref="D52:D77" si="15">IF(SUM($G52:$K52)=0,нет,IF((SUM($L52:$Z52)*100/SUM($G52:$K52))&gt;100,100,SUM($L52:$Z52)*100/SUM($G52:$K52)))</f>
        <v>нет</v>
      </c>
      <c r="E52" s="1375">
        <f t="shared" si="6"/>
        <v>0</v>
      </c>
      <c r="F52" s="1200">
        <f t="array" ref="F52">SUM(($L52:$Z52)*($L$11:$Z$11))</f>
        <v>0</v>
      </c>
      <c r="G52" s="1871"/>
      <c r="H52" s="1895"/>
      <c r="I52" s="1867"/>
      <c r="J52" s="1396"/>
      <c r="K52" s="1376"/>
      <c r="L52" s="1880"/>
      <c r="M52" s="1879"/>
      <c r="N52" s="1881"/>
      <c r="O52" s="1377"/>
      <c r="P52" s="1400"/>
      <c r="Q52" s="1396"/>
      <c r="R52" s="1396"/>
      <c r="S52" s="1887"/>
      <c r="T52" s="1378"/>
      <c r="U52" s="1379"/>
      <c r="V52" s="1379"/>
      <c r="W52" s="1379"/>
      <c r="X52" s="1379"/>
      <c r="Y52" s="1379"/>
      <c r="Z52" s="1388"/>
      <c r="AA52" s="1380">
        <f t="array" ref="AA52">SUM(($L52:$Z52)*($L$11:$Z$11)*($L$12:$Z$12=AA$12))</f>
        <v>0</v>
      </c>
      <c r="AB52" s="1381">
        <f t="array" ref="AB52">SUM(($L52:$Z52)*($L$11:$Z$11)*($L$12:$Z$12=AB$12))</f>
        <v>0</v>
      </c>
      <c r="AC52" s="1381">
        <f t="array" ref="AC52">SUM(($L52:$Z52)*($L$11:$Z$11)*($L$12:$Z$12=AC$12))</f>
        <v>0</v>
      </c>
      <c r="AD52" s="1382">
        <f t="array" ref="AD52">SUM(($L52:$Z52)*($L$11:$Z$11)*($L$12:$Z$12=AD$12))</f>
        <v>0</v>
      </c>
      <c r="AE52" s="1383" t="e">
        <f t="shared" si="12"/>
        <v>#DIV/0!</v>
      </c>
      <c r="AF52" s="1200" t="e">
        <f t="shared" si="13"/>
        <v>#DIV/0!</v>
      </c>
      <c r="AG52" s="1200" t="e">
        <f t="shared" si="14"/>
        <v>#DIV/0!</v>
      </c>
      <c r="AH52" s="1384" t="e">
        <f t="shared" si="7"/>
        <v>#DIV/0!</v>
      </c>
      <c r="AI52" s="1383">
        <f t="array" ref="AI52">IF(SUM(($L52:$Z52)*($L$11:$Z$11)*($L$12:$Z$12=AI$12))&gt;0,100,0)</f>
        <v>0</v>
      </c>
      <c r="AJ52" s="1200">
        <f t="array" ref="AJ52">IF(SUM(($L52:$Z52)*($L$11:$Z$11)*($L$12:$Z$12=AJ$12))&gt;0,100,0)</f>
        <v>0</v>
      </c>
      <c r="AK52" s="1200">
        <f t="array" ref="AK52">IF(SUM(($L52:$Z52)*($L$11:$Z$11)*($L$12:$Z$12=AK$12))&gt;0,100,0)</f>
        <v>0</v>
      </c>
      <c r="AL52" s="1384">
        <f t="array" ref="AL52">IF(SUM(($L52:$Z52)*($L$11:$Z$11)*($L$12:$Z$12=AL$12))&gt;0,100,0)</f>
        <v>0</v>
      </c>
      <c r="AM52" s="1383" t="str">
        <f t="array" ref="AM52">IF(G52&lt;&gt;0,SUM(($L52:$Z52)*($L$12:$Z$12=AM$12))/G52*100,нет)</f>
        <v>нет</v>
      </c>
      <c r="AN52" s="1200" t="str">
        <f t="array" ref="AN52">IF(H52&lt;&gt;0,SUM(($L52:$Z52)*($L$12:$Z$12=AN$12))/H52*100,нет)</f>
        <v>нет</v>
      </c>
      <c r="AO52" s="1200" t="str">
        <f t="array" ref="AO52">IF(SUM($I52:$J52)&lt;&gt;0,SUM(($L52:$Z52)*($L$12:$Z$12=AO$12))/SUM($I52:$J52)*100,нет)</f>
        <v>нет</v>
      </c>
      <c r="AP52" s="1384" t="str">
        <f t="array" ref="AP52">IF(K52&lt;&gt;0,SUM(($L52:$Z52)*($L$12:$Z$12=AP$12))/K52*100,нет)</f>
        <v>нет</v>
      </c>
      <c r="AQ52" s="1380">
        <f t="array" ref="AQ52">SUM(($L52:$Z52)*($L$12:$Z$12=AQ$12))</f>
        <v>0</v>
      </c>
      <c r="AR52" s="1381">
        <f t="array" ref="AR52">SUM(($L52:$Z52)*($L$12:$Z$12=AR$12))</f>
        <v>0</v>
      </c>
      <c r="AS52" s="1381">
        <f t="array" ref="AS52">SUM(($L52:$Z52)*($L$12:$Z$12=AS$12))</f>
        <v>0</v>
      </c>
      <c r="AT52" s="1382">
        <f t="array" ref="AT52">SUM(($L52:$Z52)*($L$12:$Z$12=AT$12))</f>
        <v>0</v>
      </c>
      <c r="AU52" s="376"/>
      <c r="AV52" s="376"/>
      <c r="AW52" s="376"/>
      <c r="AY52" s="262"/>
      <c r="AZ52" s="1128"/>
      <c r="BA52" s="1128"/>
    </row>
    <row r="53" spans="1:53" s="371" customFormat="1" x14ac:dyDescent="0.2">
      <c r="A53" s="582" t="str">
        <f>IF(LEN(КАФЕДРА!A53)&gt;2,КАФЕДРА!A53,"")</f>
        <v>Биологии, гистологии, эмбриологии и цитологии</v>
      </c>
      <c r="B53" s="370" t="str">
        <f>IF(LEN(КАФЕДРА!B53)&gt;2,КАФЕДРА!B53,"")</f>
        <v>Заведующий кафедрой</v>
      </c>
      <c r="C53" s="1183">
        <f>IF(LEN(КАФЕДРА!$A53)&gt;2,КАФЕДРА!C53,0)</f>
        <v>0</v>
      </c>
      <c r="D53" s="1367" t="str">
        <f t="shared" si="15"/>
        <v>нет</v>
      </c>
      <c r="E53" s="1360">
        <f t="shared" si="6"/>
        <v>0</v>
      </c>
      <c r="F53" s="1205">
        <f t="array" ref="F53">SUM(($L53:$Z53)*($L$11:$Z$11))</f>
        <v>0</v>
      </c>
      <c r="G53" s="1869"/>
      <c r="H53" s="1892"/>
      <c r="I53" s="1865"/>
      <c r="J53" s="1395"/>
      <c r="K53" s="1361"/>
      <c r="L53" s="1874"/>
      <c r="M53" s="1873"/>
      <c r="N53" s="1875"/>
      <c r="O53" s="1893"/>
      <c r="P53" s="1398"/>
      <c r="Q53" s="1395"/>
      <c r="R53" s="1395"/>
      <c r="S53" s="1885"/>
      <c r="T53" s="1362"/>
      <c r="U53" s="1363"/>
      <c r="V53" s="1363"/>
      <c r="W53" s="1363"/>
      <c r="X53" s="1363"/>
      <c r="Y53" s="1363"/>
      <c r="Z53" s="1361"/>
      <c r="AA53" s="1364">
        <f t="array" ref="AA53">SUM(($L53:$Z53)*($L$11:$Z$11)*($L$12:$Z$12=AA$12))</f>
        <v>0</v>
      </c>
      <c r="AB53" s="1287">
        <f t="array" ref="AB53">SUM(($L53:$Z53)*($L$11:$Z$11)*($L$12:$Z$12=AB$12))</f>
        <v>0</v>
      </c>
      <c r="AC53" s="1287">
        <f t="array" ref="AC53">SUM(($L53:$Z53)*($L$11:$Z$11)*($L$12:$Z$12=AC$12))</f>
        <v>0</v>
      </c>
      <c r="AD53" s="1365">
        <f t="array" ref="AD53">SUM(($L53:$Z53)*($L$11:$Z$11)*($L$12:$Z$12=AD$12))</f>
        <v>0</v>
      </c>
      <c r="AE53" s="1366" t="e">
        <f t="shared" si="12"/>
        <v>#DIV/0!</v>
      </c>
      <c r="AF53" s="1205" t="e">
        <f t="shared" si="13"/>
        <v>#DIV/0!</v>
      </c>
      <c r="AG53" s="1205" t="e">
        <f t="shared" si="14"/>
        <v>#DIV/0!</v>
      </c>
      <c r="AH53" s="1288" t="e">
        <f t="shared" si="7"/>
        <v>#DIV/0!</v>
      </c>
      <c r="AI53" s="1366">
        <f t="array" ref="AI53">IF(SUM(($L53:$Z53)*($L$11:$Z$11)*($L$12:$Z$12=AI$12))&gt;0,100,0)</f>
        <v>0</v>
      </c>
      <c r="AJ53" s="1205">
        <f t="array" ref="AJ53">IF(SUM(($L53:$Z53)*($L$11:$Z$11)*($L$12:$Z$12=AJ$12))&gt;0,100,0)</f>
        <v>0</v>
      </c>
      <c r="AK53" s="1205">
        <f t="array" ref="AK53">IF(SUM(($L53:$Z53)*($L$11:$Z$11)*($L$12:$Z$12=AK$12))&gt;0,100,0)</f>
        <v>0</v>
      </c>
      <c r="AL53" s="1288">
        <f t="array" ref="AL53">IF(SUM(($L53:$Z53)*($L$11:$Z$11)*($L$12:$Z$12=AL$12))&gt;0,100,0)</f>
        <v>0</v>
      </c>
      <c r="AM53" s="1366" t="str">
        <f t="array" ref="AM53">IF(G53&lt;&gt;0,SUM(($L53:$Z53)*($L$12:$Z$12=AM$12))/G53*100,нет)</f>
        <v>нет</v>
      </c>
      <c r="AN53" s="1205" t="str">
        <f t="array" ref="AN53">IF(H53&lt;&gt;0,SUM(($L53:$Z53)*($L$12:$Z$12=AN$12))/H53*100,нет)</f>
        <v>нет</v>
      </c>
      <c r="AO53" s="1205" t="str">
        <f t="array" ref="AO53">IF(SUM($I53:$J53)&lt;&gt;0,SUM(($L53:$Z53)*($L$12:$Z$12=AO$12))/SUM($I53:$J53)*100,нет)</f>
        <v>нет</v>
      </c>
      <c r="AP53" s="1288" t="str">
        <f t="array" ref="AP53">IF(K53&lt;&gt;0,SUM(($L53:$Z53)*($L$12:$Z$12=AP$12))/K53*100,нет)</f>
        <v>нет</v>
      </c>
      <c r="AQ53" s="1364">
        <f t="array" ref="AQ53">SUM(($L53:$Z53)*($L$12:$Z$12=AQ$12))</f>
        <v>0</v>
      </c>
      <c r="AR53" s="1287">
        <f t="array" ref="AR53">SUM(($L53:$Z53)*($L$12:$Z$12=AR$12))</f>
        <v>0</v>
      </c>
      <c r="AS53" s="1287">
        <f t="array" ref="AS53">SUM(($L53:$Z53)*($L$12:$Z$12=AS$12))</f>
        <v>0</v>
      </c>
      <c r="AT53" s="1365">
        <f t="array" ref="AT53">SUM(($L53:$Z53)*($L$12:$Z$12=AT$12))</f>
        <v>0</v>
      </c>
      <c r="AU53" s="1126"/>
      <c r="AV53" s="1126"/>
      <c r="AW53" s="1126"/>
      <c r="AY53" s="1127"/>
    </row>
    <row r="54" spans="1:53" s="372" customFormat="1" x14ac:dyDescent="0.2">
      <c r="A54" s="551" t="str">
        <f>IF(LEN(КАФЕДРА!A54)&gt;2,КАФЕДРА!A54,"")</f>
        <v>Гигиены и основ экологии</v>
      </c>
      <c r="B54" s="960" t="str">
        <f>IF(LEN(КАФЕДРА!B54)&gt;2,КАФЕДРА!B54,"")</f>
        <v>Заведующий кафедрой</v>
      </c>
      <c r="C54" s="792">
        <f>IF(LEN(КАФЕДРА!$A54)&gt;2,КАФЕДРА!C54,0)</f>
        <v>0</v>
      </c>
      <c r="D54" s="1367" t="str">
        <f t="shared" si="15"/>
        <v>нет</v>
      </c>
      <c r="E54" s="719">
        <f t="shared" si="6"/>
        <v>0</v>
      </c>
      <c r="F54" s="399">
        <f t="array" ref="F54">SUM(($L54:$Z54)*($L$11:$Z$11))</f>
        <v>0</v>
      </c>
      <c r="G54" s="1870"/>
      <c r="H54" s="1894"/>
      <c r="I54" s="1866"/>
      <c r="J54" s="1394"/>
      <c r="K54" s="1368"/>
      <c r="L54" s="1877"/>
      <c r="M54" s="1876"/>
      <c r="N54" s="1878"/>
      <c r="O54" s="1369"/>
      <c r="P54" s="1399"/>
      <c r="Q54" s="1394"/>
      <c r="R54" s="1394"/>
      <c r="S54" s="1886"/>
      <c r="T54" s="1370"/>
      <c r="U54" s="1371"/>
      <c r="V54" s="1371"/>
      <c r="W54" s="1371"/>
      <c r="X54" s="1371"/>
      <c r="Y54" s="1371"/>
      <c r="Z54" s="1368"/>
      <c r="AA54" s="1372">
        <f t="array" ref="AA54">SUM(($L54:$Z54)*($L$11:$Z$11)*($L$12:$Z$12=AA$12))</f>
        <v>0</v>
      </c>
      <c r="AB54" s="742">
        <f t="array" ref="AB54">SUM(($L54:$Z54)*($L$11:$Z$11)*($L$12:$Z$12=AB$12))</f>
        <v>0</v>
      </c>
      <c r="AC54" s="742">
        <f t="array" ref="AC54">SUM(($L54:$Z54)*($L$11:$Z$11)*($L$12:$Z$12=AC$12))</f>
        <v>0</v>
      </c>
      <c r="AD54" s="1373">
        <f t="array" ref="AD54">SUM(($L54:$Z54)*($L$11:$Z$11)*($L$12:$Z$12=AD$12))</f>
        <v>0</v>
      </c>
      <c r="AE54" s="1374" t="e">
        <f t="shared" si="12"/>
        <v>#DIV/0!</v>
      </c>
      <c r="AF54" s="399" t="e">
        <f t="shared" si="13"/>
        <v>#DIV/0!</v>
      </c>
      <c r="AG54" s="399" t="e">
        <f t="shared" si="14"/>
        <v>#DIV/0!</v>
      </c>
      <c r="AH54" s="1308" t="e">
        <f t="shared" si="7"/>
        <v>#DIV/0!</v>
      </c>
      <c r="AI54" s="1374">
        <f t="array" ref="AI54">IF(SUM(($L54:$Z54)*($L$11:$Z$11)*($L$12:$Z$12=AI$12))&gt;0,100,0)</f>
        <v>0</v>
      </c>
      <c r="AJ54" s="399">
        <f t="array" ref="AJ54">IF(SUM(($L54:$Z54)*($L$11:$Z$11)*($L$12:$Z$12=AJ$12))&gt;0,100,0)</f>
        <v>0</v>
      </c>
      <c r="AK54" s="399">
        <f t="array" ref="AK54">IF(SUM(($L54:$Z54)*($L$11:$Z$11)*($L$12:$Z$12=AK$12))&gt;0,100,0)</f>
        <v>0</v>
      </c>
      <c r="AL54" s="1308">
        <f t="array" ref="AL54">IF(SUM(($L54:$Z54)*($L$11:$Z$11)*($L$12:$Z$12=AL$12))&gt;0,100,0)</f>
        <v>0</v>
      </c>
      <c r="AM54" s="1374" t="str">
        <f t="array" ref="AM54">IF(G54&lt;&gt;0,SUM(($L54:$Z54)*($L$12:$Z$12=AM$12))/G54*100,нет)</f>
        <v>нет</v>
      </c>
      <c r="AN54" s="399" t="str">
        <f t="array" ref="AN54">IF(H54&lt;&gt;0,SUM(($L54:$Z54)*($L$12:$Z$12=AN$12))/H54*100,нет)</f>
        <v>нет</v>
      </c>
      <c r="AO54" s="399" t="str">
        <f t="array" ref="AO54">IF(SUM($I54:$J54)&lt;&gt;0,SUM(($L54:$Z54)*($L$12:$Z$12=AO$12))/SUM($I54:$J54)*100,нет)</f>
        <v>нет</v>
      </c>
      <c r="AP54" s="1308" t="str">
        <f t="array" ref="AP54">IF(K54&lt;&gt;0,SUM(($L54:$Z54)*($L$12:$Z$12=AP$12))/K54*100,нет)</f>
        <v>нет</v>
      </c>
      <c r="AQ54" s="1372">
        <f t="array" ref="AQ54">SUM(($L54:$Z54)*($L$12:$Z$12=AQ$12))</f>
        <v>0</v>
      </c>
      <c r="AR54" s="742">
        <f t="array" ref="AR54">SUM(($L54:$Z54)*($L$12:$Z$12=AR$12))</f>
        <v>0</v>
      </c>
      <c r="AS54" s="742">
        <f t="array" ref="AS54">SUM(($L54:$Z54)*($L$12:$Z$12=AS$12))</f>
        <v>0</v>
      </c>
      <c r="AT54" s="1373">
        <f t="array" ref="AT54">SUM(($L54:$Z54)*($L$12:$Z$12=AT$12))</f>
        <v>0</v>
      </c>
      <c r="AU54" s="376"/>
      <c r="AV54" s="376"/>
      <c r="AW54" s="376"/>
      <c r="AX54" s="182"/>
      <c r="AY54" s="262"/>
    </row>
    <row r="55" spans="1:53" s="372" customFormat="1" x14ac:dyDescent="0.2">
      <c r="A55" s="551" t="str">
        <f>IF(LEN(КАФЕДРА!A55)&gt;2,КАФЕДРА!A55,"")</f>
        <v>Дерматовенерологии, косметологии и иммунологии</v>
      </c>
      <c r="B55" s="960" t="str">
        <f>IF(LEN(КАФЕДРА!B55)&gt;2,КАФЕДРА!B55,"")</f>
        <v>Заведующий кафедрой</v>
      </c>
      <c r="C55" s="792">
        <f>IF(LEN(КАФЕДРА!$A55)&gt;2,КАФЕДРА!C55,0)</f>
        <v>0</v>
      </c>
      <c r="D55" s="1367" t="str">
        <f t="shared" si="15"/>
        <v>нет</v>
      </c>
      <c r="E55" s="719">
        <f t="shared" si="6"/>
        <v>0</v>
      </c>
      <c r="F55" s="399">
        <f t="array" ref="F55">SUM(($L55:$Z55)*($L$11:$Z$11))</f>
        <v>0</v>
      </c>
      <c r="G55" s="1870"/>
      <c r="H55" s="1894"/>
      <c r="I55" s="1866"/>
      <c r="J55" s="1394"/>
      <c r="K55" s="1368"/>
      <c r="L55" s="1877"/>
      <c r="M55" s="1876"/>
      <c r="N55" s="1878"/>
      <c r="O55" s="1369"/>
      <c r="P55" s="1399"/>
      <c r="Q55" s="1394"/>
      <c r="R55" s="1394"/>
      <c r="S55" s="1886"/>
      <c r="T55" s="1370"/>
      <c r="U55" s="1371"/>
      <c r="V55" s="1371"/>
      <c r="W55" s="1371"/>
      <c r="X55" s="1371"/>
      <c r="Y55" s="1371"/>
      <c r="Z55" s="1368"/>
      <c r="AA55" s="1372">
        <f t="array" ref="AA55">SUM(($L55:$Z55)*($L$11:$Z$11)*($L$12:$Z$12=AA$12))</f>
        <v>0</v>
      </c>
      <c r="AB55" s="742">
        <f t="array" ref="AB55">SUM(($L55:$Z55)*($L$11:$Z$11)*($L$12:$Z$12=AB$12))</f>
        <v>0</v>
      </c>
      <c r="AC55" s="742">
        <f t="array" ref="AC55">SUM(($L55:$Z55)*($L$11:$Z$11)*($L$12:$Z$12=AC$12))</f>
        <v>0</v>
      </c>
      <c r="AD55" s="1373">
        <f t="array" ref="AD55">SUM(($L55:$Z55)*($L$11:$Z$11)*($L$12:$Z$12=AD$12))</f>
        <v>0</v>
      </c>
      <c r="AE55" s="1374" t="e">
        <f t="shared" si="12"/>
        <v>#DIV/0!</v>
      </c>
      <c r="AF55" s="399" t="e">
        <f t="shared" si="13"/>
        <v>#DIV/0!</v>
      </c>
      <c r="AG55" s="399" t="e">
        <f t="shared" si="14"/>
        <v>#DIV/0!</v>
      </c>
      <c r="AH55" s="1308" t="e">
        <f t="shared" si="7"/>
        <v>#DIV/0!</v>
      </c>
      <c r="AI55" s="1374">
        <f t="array" ref="AI55">IF(SUM(($L55:$Z55)*($L$11:$Z$11)*($L$12:$Z$12=AI$12))&gt;0,100,0)</f>
        <v>0</v>
      </c>
      <c r="AJ55" s="399">
        <f t="array" ref="AJ55">IF(SUM(($L55:$Z55)*($L$11:$Z$11)*($L$12:$Z$12=AJ$12))&gt;0,100,0)</f>
        <v>0</v>
      </c>
      <c r="AK55" s="399">
        <f t="array" ref="AK55">IF(SUM(($L55:$Z55)*($L$11:$Z$11)*($L$12:$Z$12=AK$12))&gt;0,100,0)</f>
        <v>0</v>
      </c>
      <c r="AL55" s="1308">
        <f t="array" ref="AL55">IF(SUM(($L55:$Z55)*($L$11:$Z$11)*($L$12:$Z$12=AL$12))&gt;0,100,0)</f>
        <v>0</v>
      </c>
      <c r="AM55" s="1374" t="str">
        <f t="array" ref="AM55">IF(G55&lt;&gt;0,SUM(($L55:$Z55)*($L$12:$Z$12=AM$12))/G55*100,нет)</f>
        <v>нет</v>
      </c>
      <c r="AN55" s="399" t="str">
        <f t="array" ref="AN55">IF(H55&lt;&gt;0,SUM(($L55:$Z55)*($L$12:$Z$12=AN$12))/H55*100,нет)</f>
        <v>нет</v>
      </c>
      <c r="AO55" s="399" t="str">
        <f t="array" ref="AO55">IF(SUM($I55:$J55)&lt;&gt;0,SUM(($L55:$Z55)*($L$12:$Z$12=AO$12))/SUM($I55:$J55)*100,нет)</f>
        <v>нет</v>
      </c>
      <c r="AP55" s="1308" t="str">
        <f t="array" ref="AP55">IF(K55&lt;&gt;0,SUM(($L55:$Z55)*($L$12:$Z$12=AP$12))/K55*100,нет)</f>
        <v>нет</v>
      </c>
      <c r="AQ55" s="1372">
        <f t="array" ref="AQ55">SUM(($L55:$Z55)*($L$12:$Z$12=AQ$12))</f>
        <v>0</v>
      </c>
      <c r="AR55" s="742">
        <f t="array" ref="AR55">SUM(($L55:$Z55)*($L$12:$Z$12=AR$12))</f>
        <v>0</v>
      </c>
      <c r="AS55" s="742">
        <f t="array" ref="AS55">SUM(($L55:$Z55)*($L$12:$Z$12=AS$12))</f>
        <v>0</v>
      </c>
      <c r="AT55" s="1373">
        <f t="array" ref="AT55">SUM(($L55:$Z55)*($L$12:$Z$12=AT$12))</f>
        <v>0</v>
      </c>
      <c r="AU55" s="376"/>
      <c r="AV55" s="376"/>
      <c r="AW55" s="376"/>
      <c r="AX55" s="182"/>
      <c r="AY55" s="262"/>
    </row>
    <row r="56" spans="1:53" s="372" customFormat="1" x14ac:dyDescent="0.2">
      <c r="A56" s="551" t="str">
        <f>IF(LEN(КАФЕДРА!A56)&gt;2,КАФЕДРА!A56,"")</f>
        <v>Инфекционных болезней с курсом ДПО</v>
      </c>
      <c r="B56" s="960" t="str">
        <f>IF(LEN(КАФЕДРА!B56)&gt;2,КАФЕДРА!B56,"")</f>
        <v>Заведующий кафедрой</v>
      </c>
      <c r="C56" s="792">
        <f>IF(LEN(КАФЕДРА!$A56)&gt;2,КАФЕДРА!C56,0)</f>
        <v>0</v>
      </c>
      <c r="D56" s="1367" t="str">
        <f t="shared" si="15"/>
        <v>нет</v>
      </c>
      <c r="E56" s="719">
        <f t="shared" si="6"/>
        <v>0</v>
      </c>
      <c r="F56" s="399">
        <f t="array" ref="F56">SUM(($L56:$Z56)*($L$11:$Z$11))</f>
        <v>0</v>
      </c>
      <c r="G56" s="1870"/>
      <c r="H56" s="1894"/>
      <c r="I56" s="1866"/>
      <c r="J56" s="1394"/>
      <c r="K56" s="1368"/>
      <c r="L56" s="1877"/>
      <c r="M56" s="1876"/>
      <c r="N56" s="1878"/>
      <c r="O56" s="1369"/>
      <c r="P56" s="1399"/>
      <c r="Q56" s="1394"/>
      <c r="R56" s="1394"/>
      <c r="S56" s="1886"/>
      <c r="T56" s="1370"/>
      <c r="U56" s="1371"/>
      <c r="V56" s="1371"/>
      <c r="W56" s="1371"/>
      <c r="X56" s="1371"/>
      <c r="Y56" s="1371"/>
      <c r="Z56" s="1368"/>
      <c r="AA56" s="1372">
        <f t="array" ref="AA56">SUM(($L56:$Z56)*($L$11:$Z$11)*($L$12:$Z$12=AA$12))</f>
        <v>0</v>
      </c>
      <c r="AB56" s="742">
        <f t="array" ref="AB56">SUM(($L56:$Z56)*($L$11:$Z$11)*($L$12:$Z$12=AB$12))</f>
        <v>0</v>
      </c>
      <c r="AC56" s="742">
        <f t="array" ref="AC56">SUM(($L56:$Z56)*($L$11:$Z$11)*($L$12:$Z$12=AC$12))</f>
        <v>0</v>
      </c>
      <c r="AD56" s="1373">
        <f t="array" ref="AD56">SUM(($L56:$Z56)*($L$11:$Z$11)*($L$12:$Z$12=AD$12))</f>
        <v>0</v>
      </c>
      <c r="AE56" s="1374" t="e">
        <f t="shared" si="12"/>
        <v>#DIV/0!</v>
      </c>
      <c r="AF56" s="399" t="e">
        <f t="shared" si="13"/>
        <v>#DIV/0!</v>
      </c>
      <c r="AG56" s="399" t="e">
        <f t="shared" si="14"/>
        <v>#DIV/0!</v>
      </c>
      <c r="AH56" s="1308" t="e">
        <f t="shared" si="7"/>
        <v>#DIV/0!</v>
      </c>
      <c r="AI56" s="1374">
        <f t="array" ref="AI56">IF(SUM(($L56:$Z56)*($L$11:$Z$11)*($L$12:$Z$12=AI$12))&gt;0,100,0)</f>
        <v>0</v>
      </c>
      <c r="AJ56" s="399">
        <f t="array" ref="AJ56">IF(SUM(($L56:$Z56)*($L$11:$Z$11)*($L$12:$Z$12=AJ$12))&gt;0,100,0)</f>
        <v>0</v>
      </c>
      <c r="AK56" s="399">
        <f t="array" ref="AK56">IF(SUM(($L56:$Z56)*($L$11:$Z$11)*($L$12:$Z$12=AK$12))&gt;0,100,0)</f>
        <v>0</v>
      </c>
      <c r="AL56" s="1308">
        <f t="array" ref="AL56">IF(SUM(($L56:$Z56)*($L$11:$Z$11)*($L$12:$Z$12=AL$12))&gt;0,100,0)</f>
        <v>0</v>
      </c>
      <c r="AM56" s="1374" t="str">
        <f t="array" ref="AM56">IF(G56&lt;&gt;0,SUM(($L56:$Z56)*($L$12:$Z$12=AM$12))/G56*100,нет)</f>
        <v>нет</v>
      </c>
      <c r="AN56" s="399" t="str">
        <f t="array" ref="AN56">IF(H56&lt;&gt;0,SUM(($L56:$Z56)*($L$12:$Z$12=AN$12))/H56*100,нет)</f>
        <v>нет</v>
      </c>
      <c r="AO56" s="399" t="str">
        <f t="array" ref="AO56">IF(SUM($I56:$J56)&lt;&gt;0,SUM(($L56:$Z56)*($L$12:$Z$12=AO$12))/SUM($I56:$J56)*100,нет)</f>
        <v>нет</v>
      </c>
      <c r="AP56" s="1308" t="str">
        <f t="array" ref="AP56">IF(K56&lt;&gt;0,SUM(($L56:$Z56)*($L$12:$Z$12=AP$12))/K56*100,нет)</f>
        <v>нет</v>
      </c>
      <c r="AQ56" s="1372">
        <f t="array" ref="AQ56">SUM(($L56:$Z56)*($L$12:$Z$12=AQ$12))</f>
        <v>0</v>
      </c>
      <c r="AR56" s="742">
        <f t="array" ref="AR56">SUM(($L56:$Z56)*($L$12:$Z$12=AR$12))</f>
        <v>0</v>
      </c>
      <c r="AS56" s="742">
        <f t="array" ref="AS56">SUM(($L56:$Z56)*($L$12:$Z$12=AS$12))</f>
        <v>0</v>
      </c>
      <c r="AT56" s="1373">
        <f t="array" ref="AT56">SUM(($L56:$Z56)*($L$12:$Z$12=AT$12))</f>
        <v>0</v>
      </c>
      <c r="AU56" s="376"/>
      <c r="AV56" s="376"/>
      <c r="AW56" s="376"/>
      <c r="AX56" s="182"/>
      <c r="AY56" s="262"/>
    </row>
    <row r="57" spans="1:53" s="372" customFormat="1" x14ac:dyDescent="0.2">
      <c r="A57" s="551" t="str">
        <f>IF(LEN(КАФЕДРА!A57)&gt;2,КАФЕДРА!A57,"")</f>
        <v>Медицины катастроф и безопасности жизнедеятельности</v>
      </c>
      <c r="B57" s="960" t="str">
        <f>IF(LEN(КАФЕДРА!B57)&gt;2,КАФЕДРА!B57,"")</f>
        <v>Заведующий кафедрой</v>
      </c>
      <c r="C57" s="792">
        <f>IF(LEN(КАФЕДРА!$A57)&gt;2,КАФЕДРА!C57,0)</f>
        <v>0</v>
      </c>
      <c r="D57" s="1367" t="str">
        <f t="shared" si="15"/>
        <v>нет</v>
      </c>
      <c r="E57" s="719">
        <f t="shared" si="6"/>
        <v>0</v>
      </c>
      <c r="F57" s="399">
        <f t="array" ref="F57">SUM(($L57:$Z57)*($L$11:$Z$11))</f>
        <v>0</v>
      </c>
      <c r="G57" s="1870"/>
      <c r="H57" s="1894"/>
      <c r="I57" s="1866"/>
      <c r="J57" s="1394"/>
      <c r="K57" s="1368"/>
      <c r="L57" s="1877"/>
      <c r="M57" s="1876"/>
      <c r="N57" s="1878"/>
      <c r="O57" s="1369"/>
      <c r="P57" s="1399"/>
      <c r="Q57" s="1394"/>
      <c r="R57" s="1394"/>
      <c r="S57" s="1886"/>
      <c r="T57" s="1370"/>
      <c r="U57" s="1371"/>
      <c r="V57" s="1371"/>
      <c r="W57" s="1371"/>
      <c r="X57" s="1371"/>
      <c r="Y57" s="1371"/>
      <c r="Z57" s="1368"/>
      <c r="AA57" s="1372">
        <f t="array" ref="AA57">SUM(($L57:$Z57)*($L$11:$Z$11)*($L$12:$Z$12=AA$12))</f>
        <v>0</v>
      </c>
      <c r="AB57" s="742">
        <f t="array" ref="AB57">SUM(($L57:$Z57)*($L$11:$Z$11)*($L$12:$Z$12=AB$12))</f>
        <v>0</v>
      </c>
      <c r="AC57" s="742">
        <f t="array" ref="AC57">SUM(($L57:$Z57)*($L$11:$Z$11)*($L$12:$Z$12=AC$12))</f>
        <v>0</v>
      </c>
      <c r="AD57" s="1373">
        <f t="array" ref="AD57">SUM(($L57:$Z57)*($L$11:$Z$11)*($L$12:$Z$12=AD$12))</f>
        <v>0</v>
      </c>
      <c r="AE57" s="1374" t="e">
        <f t="shared" si="12"/>
        <v>#DIV/0!</v>
      </c>
      <c r="AF57" s="399" t="e">
        <f t="shared" si="13"/>
        <v>#DIV/0!</v>
      </c>
      <c r="AG57" s="399" t="e">
        <f t="shared" si="14"/>
        <v>#DIV/0!</v>
      </c>
      <c r="AH57" s="1308" t="e">
        <f t="shared" si="7"/>
        <v>#DIV/0!</v>
      </c>
      <c r="AI57" s="1374">
        <f t="array" ref="AI57">IF(SUM(($L57:$Z57)*($L$11:$Z$11)*($L$12:$Z$12=AI$12))&gt;0,100,0)</f>
        <v>0</v>
      </c>
      <c r="AJ57" s="399">
        <f t="array" ref="AJ57">IF(SUM(($L57:$Z57)*($L$11:$Z$11)*($L$12:$Z$12=AJ$12))&gt;0,100,0)</f>
        <v>0</v>
      </c>
      <c r="AK57" s="399">
        <f t="array" ref="AK57">IF(SUM(($L57:$Z57)*($L$11:$Z$11)*($L$12:$Z$12=AK$12))&gt;0,100,0)</f>
        <v>0</v>
      </c>
      <c r="AL57" s="1308">
        <f t="array" ref="AL57">IF(SUM(($L57:$Z57)*($L$11:$Z$11)*($L$12:$Z$12=AL$12))&gt;0,100,0)</f>
        <v>0</v>
      </c>
      <c r="AM57" s="1374" t="str">
        <f t="array" ref="AM57">IF(G57&lt;&gt;0,SUM(($L57:$Z57)*($L$12:$Z$12=AM$12))/G57*100,нет)</f>
        <v>нет</v>
      </c>
      <c r="AN57" s="399" t="str">
        <f t="array" ref="AN57">IF(H57&lt;&gt;0,SUM(($L57:$Z57)*($L$12:$Z$12=AN$12))/H57*100,нет)</f>
        <v>нет</v>
      </c>
      <c r="AO57" s="399" t="str">
        <f t="array" ref="AO57">IF(SUM($I57:$J57)&lt;&gt;0,SUM(($L57:$Z57)*($L$12:$Z$12=AO$12))/SUM($I57:$J57)*100,нет)</f>
        <v>нет</v>
      </c>
      <c r="AP57" s="1308" t="str">
        <f t="array" ref="AP57">IF(K57&lt;&gt;0,SUM(($L57:$Z57)*($L$12:$Z$12=AP$12))/K57*100,нет)</f>
        <v>нет</v>
      </c>
      <c r="AQ57" s="1372">
        <f t="array" ref="AQ57">SUM(($L57:$Z57)*($L$12:$Z$12=AQ$12))</f>
        <v>0</v>
      </c>
      <c r="AR57" s="742">
        <f t="array" ref="AR57">SUM(($L57:$Z57)*($L$12:$Z$12=AR$12))</f>
        <v>0</v>
      </c>
      <c r="AS57" s="742">
        <f t="array" ref="AS57">SUM(($L57:$Z57)*($L$12:$Z$12=AS$12))</f>
        <v>0</v>
      </c>
      <c r="AT57" s="1373">
        <f t="array" ref="AT57">SUM(($L57:$Z57)*($L$12:$Z$12=AT$12))</f>
        <v>0</v>
      </c>
      <c r="AU57" s="376"/>
      <c r="AV57" s="376"/>
      <c r="AW57" s="376"/>
      <c r="AX57" s="182"/>
      <c r="AY57" s="262"/>
    </row>
    <row r="58" spans="1:53" s="372" customFormat="1" x14ac:dyDescent="0.2">
      <c r="A58" s="551" t="str">
        <f>IF(LEN(КАФЕДРА!A58)&gt;2,КАФЕДРА!A58,"")</f>
        <v>Медицинского права</v>
      </c>
      <c r="B58" s="960" t="str">
        <f>IF(LEN(КАФЕДРА!B58)&gt;2,КАФЕДРА!B58,"")</f>
        <v>Заведующий кафедрой</v>
      </c>
      <c r="C58" s="792">
        <f>IF(LEN(КАФЕДРА!$A58)&gt;2,КАФЕДРА!C58,0)</f>
        <v>0</v>
      </c>
      <c r="D58" s="1367" t="str">
        <f t="shared" si="15"/>
        <v>нет</v>
      </c>
      <c r="E58" s="719">
        <f>IF($C58=0,0,$F58/$C58)</f>
        <v>0</v>
      </c>
      <c r="F58" s="399">
        <f t="array" ref="F58">SUM(($L58:$Z58)*($L$11:$Z$11))</f>
        <v>0</v>
      </c>
      <c r="G58" s="1870"/>
      <c r="H58" s="1894"/>
      <c r="I58" s="1866"/>
      <c r="J58" s="1394"/>
      <c r="K58" s="1368"/>
      <c r="L58" s="1877"/>
      <c r="M58" s="1876"/>
      <c r="N58" s="1878"/>
      <c r="O58" s="1369"/>
      <c r="P58" s="1399"/>
      <c r="Q58" s="1394"/>
      <c r="R58" s="1394"/>
      <c r="S58" s="1886"/>
      <c r="T58" s="1370"/>
      <c r="U58" s="1371"/>
      <c r="V58" s="1371"/>
      <c r="W58" s="1371"/>
      <c r="X58" s="1371"/>
      <c r="Y58" s="1371"/>
      <c r="Z58" s="1368"/>
      <c r="AA58" s="1372">
        <f t="array" ref="AA58">SUM(($L58:$Z58)*($L$11:$Z$11)*($L$12:$Z$12=AA$12))</f>
        <v>0</v>
      </c>
      <c r="AB58" s="742">
        <f t="array" ref="AB58">SUM(($L58:$Z58)*($L$11:$Z$11)*($L$12:$Z$12=AB$12))</f>
        <v>0</v>
      </c>
      <c r="AC58" s="742">
        <f t="array" ref="AC58">SUM(($L58:$Z58)*($L$11:$Z$11)*($L$12:$Z$12=AC$12))</f>
        <v>0</v>
      </c>
      <c r="AD58" s="1373">
        <f t="array" ref="AD58">SUM(($L58:$Z58)*($L$11:$Z$11)*($L$12:$Z$12=AD$12))</f>
        <v>0</v>
      </c>
      <c r="AE58" s="1374" t="e">
        <f t="shared" si="12"/>
        <v>#DIV/0!</v>
      </c>
      <c r="AF58" s="399" t="e">
        <f t="shared" si="13"/>
        <v>#DIV/0!</v>
      </c>
      <c r="AG58" s="399" t="e">
        <f t="shared" si="14"/>
        <v>#DIV/0!</v>
      </c>
      <c r="AH58" s="1308" t="e">
        <f>AD58/$C58</f>
        <v>#DIV/0!</v>
      </c>
      <c r="AI58" s="1374">
        <f t="array" ref="AI58">IF(SUM(($L58:$Z58)*($L$11:$Z$11)*($L$12:$Z$12=AI$12))&gt;0,100,0)</f>
        <v>0</v>
      </c>
      <c r="AJ58" s="399">
        <f t="array" ref="AJ58">IF(SUM(($L58:$Z58)*($L$11:$Z$11)*($L$12:$Z$12=AJ$12))&gt;0,100,0)</f>
        <v>0</v>
      </c>
      <c r="AK58" s="399">
        <f t="array" ref="AK58">IF(SUM(($L58:$Z58)*($L$11:$Z$11)*($L$12:$Z$12=AK$12))&gt;0,100,0)</f>
        <v>0</v>
      </c>
      <c r="AL58" s="1308">
        <f t="array" ref="AL58">IF(SUM(($L58:$Z58)*($L$11:$Z$11)*($L$12:$Z$12=AL$12))&gt;0,100,0)</f>
        <v>0</v>
      </c>
      <c r="AM58" s="1374" t="str">
        <f t="array" ref="AM58">IF(G58&lt;&gt;0,SUM(($L58:$Z58)*($L$12:$Z$12=AM$12))/G58*100,нет)</f>
        <v>нет</v>
      </c>
      <c r="AN58" s="399" t="str">
        <f t="array" ref="AN58">IF(H58&lt;&gt;0,SUM(($L58:$Z58)*($L$12:$Z$12=AN$12))/H58*100,нет)</f>
        <v>нет</v>
      </c>
      <c r="AO58" s="399" t="str">
        <f t="array" ref="AO58">IF(SUM($I58:$J58)&lt;&gt;0,SUM(($L58:$Z58)*($L$12:$Z$12=AO$12))/SUM($I58:$J58)*100,нет)</f>
        <v>нет</v>
      </c>
      <c r="AP58" s="1308" t="str">
        <f t="array" ref="AP58">IF(K58&lt;&gt;0,SUM(($L58:$Z58)*($L$12:$Z$12=AP$12))/K58*100,нет)</f>
        <v>нет</v>
      </c>
      <c r="AQ58" s="1372">
        <f t="array" ref="AQ58">SUM(($L58:$Z58)*($L$12:$Z$12=AQ$12))</f>
        <v>0</v>
      </c>
      <c r="AR58" s="742">
        <f t="array" ref="AR58">SUM(($L58:$Z58)*($L$12:$Z$12=AR$12))</f>
        <v>0</v>
      </c>
      <c r="AS58" s="742">
        <f t="array" ref="AS58">SUM(($L58:$Z58)*($L$12:$Z$12=AS$12))</f>
        <v>0</v>
      </c>
      <c r="AT58" s="1373">
        <f t="array" ref="AT58">SUM(($L58:$Z58)*($L$12:$Z$12=AT$12))</f>
        <v>0</v>
      </c>
      <c r="AU58" s="376"/>
      <c r="AV58" s="376"/>
      <c r="AW58" s="376"/>
      <c r="AX58" s="182"/>
      <c r="AY58" s="262"/>
    </row>
    <row r="59" spans="1:53" s="372" customFormat="1" x14ac:dyDescent="0.2">
      <c r="A59" s="551" t="str">
        <f>IF(LEN(КАФЕДРА!A59)&gt;2,КАФЕДРА!A59,"")</f>
        <v>Общественного здоровья и здравоохранения</v>
      </c>
      <c r="B59" s="960" t="str">
        <f>IF(LEN(КАФЕДРА!B59)&gt;2,КАФЕДРА!B59,"")</f>
        <v>Заведующий кафедрой</v>
      </c>
      <c r="C59" s="792">
        <f>IF(LEN(КАФЕДРА!$A59)&gt;2,КАФЕДРА!C59,0)</f>
        <v>0</v>
      </c>
      <c r="D59" s="1367" t="str">
        <f t="shared" si="15"/>
        <v>нет</v>
      </c>
      <c r="E59" s="719">
        <f t="shared" si="6"/>
        <v>0</v>
      </c>
      <c r="F59" s="399">
        <f t="array" ref="F59">SUM(($L59:$Z59)*($L$11:$Z$11))</f>
        <v>0</v>
      </c>
      <c r="G59" s="1870"/>
      <c r="H59" s="1894"/>
      <c r="I59" s="1866"/>
      <c r="J59" s="1394"/>
      <c r="K59" s="1368"/>
      <c r="L59" s="1877"/>
      <c r="M59" s="1876"/>
      <c r="N59" s="1878"/>
      <c r="O59" s="1369"/>
      <c r="P59" s="1399"/>
      <c r="Q59" s="1394"/>
      <c r="R59" s="1394"/>
      <c r="S59" s="1886"/>
      <c r="T59" s="1370"/>
      <c r="U59" s="1371"/>
      <c r="V59" s="1371"/>
      <c r="W59" s="1371"/>
      <c r="X59" s="1371"/>
      <c r="Y59" s="1371"/>
      <c r="Z59" s="1368"/>
      <c r="AA59" s="1372">
        <f t="array" ref="AA59">SUM(($L59:$Z59)*($L$11:$Z$11)*($L$12:$Z$12=AA$12))</f>
        <v>0</v>
      </c>
      <c r="AB59" s="742">
        <f t="array" ref="AB59">SUM(($L59:$Z59)*($L$11:$Z$11)*($L$12:$Z$12=AB$12))</f>
        <v>0</v>
      </c>
      <c r="AC59" s="742">
        <f t="array" ref="AC59">SUM(($L59:$Z59)*($L$11:$Z$11)*($L$12:$Z$12=AC$12))</f>
        <v>0</v>
      </c>
      <c r="AD59" s="1373">
        <f t="array" ref="AD59">SUM(($L59:$Z59)*($L$11:$Z$11)*($L$12:$Z$12=AD$12))</f>
        <v>0</v>
      </c>
      <c r="AE59" s="1374" t="e">
        <f t="shared" si="12"/>
        <v>#DIV/0!</v>
      </c>
      <c r="AF59" s="399" t="e">
        <f t="shared" si="13"/>
        <v>#DIV/0!</v>
      </c>
      <c r="AG59" s="399" t="e">
        <f t="shared" si="14"/>
        <v>#DIV/0!</v>
      </c>
      <c r="AH59" s="1308" t="e">
        <f t="shared" si="7"/>
        <v>#DIV/0!</v>
      </c>
      <c r="AI59" s="1374">
        <f t="array" ref="AI59">IF(SUM(($L59:$Z59)*($L$11:$Z$11)*($L$12:$Z$12=AI$12))&gt;0,100,0)</f>
        <v>0</v>
      </c>
      <c r="AJ59" s="399">
        <f t="array" ref="AJ59">IF(SUM(($L59:$Z59)*($L$11:$Z$11)*($L$12:$Z$12=AJ$12))&gt;0,100,0)</f>
        <v>0</v>
      </c>
      <c r="AK59" s="399">
        <f t="array" ref="AK59">IF(SUM(($L59:$Z59)*($L$11:$Z$11)*($L$12:$Z$12=AK$12))&gt;0,100,0)</f>
        <v>0</v>
      </c>
      <c r="AL59" s="1308">
        <f t="array" ref="AL59">IF(SUM(($L59:$Z59)*($L$11:$Z$11)*($L$12:$Z$12=AL$12))&gt;0,100,0)</f>
        <v>0</v>
      </c>
      <c r="AM59" s="1374" t="str">
        <f t="array" ref="AM59">IF(G59&lt;&gt;0,SUM(($L59:$Z59)*($L$12:$Z$12=AM$12))/G59*100,нет)</f>
        <v>нет</v>
      </c>
      <c r="AN59" s="399" t="str">
        <f t="array" ref="AN59">IF(H59&lt;&gt;0,SUM(($L59:$Z59)*($L$12:$Z$12=AN$12))/H59*100,нет)</f>
        <v>нет</v>
      </c>
      <c r="AO59" s="399" t="str">
        <f t="array" ref="AO59">IF(SUM($I59:$J59)&lt;&gt;0,SUM(($L59:$Z59)*($L$12:$Z$12=AO$12))/SUM($I59:$J59)*100,нет)</f>
        <v>нет</v>
      </c>
      <c r="AP59" s="1308" t="str">
        <f t="array" ref="AP59">IF(K59&lt;&gt;0,SUM(($L59:$Z59)*($L$12:$Z$12=AP$12))/K59*100,нет)</f>
        <v>нет</v>
      </c>
      <c r="AQ59" s="1372">
        <f t="array" ref="AQ59">SUM(($L59:$Z59)*($L$12:$Z$12=AQ$12))</f>
        <v>0</v>
      </c>
      <c r="AR59" s="742">
        <f t="array" ref="AR59">SUM(($L59:$Z59)*($L$12:$Z$12=AR$12))</f>
        <v>0</v>
      </c>
      <c r="AS59" s="742">
        <f t="array" ref="AS59">SUM(($L59:$Z59)*($L$12:$Z$12=AS$12))</f>
        <v>0</v>
      </c>
      <c r="AT59" s="1373">
        <f t="array" ref="AT59">SUM(($L59:$Z59)*($L$12:$Z$12=AT$12))</f>
        <v>0</v>
      </c>
      <c r="AU59" s="376"/>
      <c r="AV59" s="376"/>
      <c r="AW59" s="376"/>
      <c r="AX59" s="182"/>
      <c r="AY59" s="262"/>
    </row>
    <row r="60" spans="1:53" s="372" customFormat="1" x14ac:dyDescent="0.2">
      <c r="A60" s="551" t="str">
        <f>IF(LEN(КАФЕДРА!A60)&gt;2,КАФЕДРА!A60,"")</f>
        <v>Пульмонологии и фтизиатрии с курсом ДПО</v>
      </c>
      <c r="B60" s="960" t="str">
        <f>IF(LEN(КАФЕДРА!B60)&gt;2,КАФЕДРА!B60,"")</f>
        <v>Заведующий кафедрой</v>
      </c>
      <c r="C60" s="792">
        <f>IF(LEN(КАФЕДРА!$A60)&gt;2,КАФЕДРА!C60,0)</f>
        <v>0</v>
      </c>
      <c r="D60" s="1367" t="str">
        <f t="shared" si="15"/>
        <v>нет</v>
      </c>
      <c r="E60" s="719">
        <f t="shared" si="6"/>
        <v>0</v>
      </c>
      <c r="F60" s="399">
        <f t="array" ref="F60">SUM(($L60:$Z60)*($L$11:$Z$11))</f>
        <v>0</v>
      </c>
      <c r="G60" s="1870"/>
      <c r="H60" s="1894"/>
      <c r="I60" s="1866"/>
      <c r="J60" s="1394"/>
      <c r="K60" s="1368"/>
      <c r="L60" s="1877"/>
      <c r="M60" s="1876"/>
      <c r="N60" s="1878"/>
      <c r="O60" s="1369"/>
      <c r="P60" s="1399"/>
      <c r="Q60" s="1394"/>
      <c r="R60" s="1394"/>
      <c r="S60" s="1886"/>
      <c r="T60" s="1370"/>
      <c r="U60" s="1371"/>
      <c r="V60" s="1371"/>
      <c r="W60" s="1371"/>
      <c r="X60" s="1371"/>
      <c r="Y60" s="1371"/>
      <c r="Z60" s="1368"/>
      <c r="AA60" s="1372">
        <f t="array" ref="AA60">SUM(($L60:$Z60)*($L$11:$Z$11)*($L$12:$Z$12=AA$12))</f>
        <v>0</v>
      </c>
      <c r="AB60" s="742">
        <f t="array" ref="AB60">SUM(($L60:$Z60)*($L$11:$Z$11)*($L$12:$Z$12=AB$12))</f>
        <v>0</v>
      </c>
      <c r="AC60" s="742">
        <f t="array" ref="AC60">SUM(($L60:$Z60)*($L$11:$Z$11)*($L$12:$Z$12=AC$12))</f>
        <v>0</v>
      </c>
      <c r="AD60" s="1373">
        <f t="array" ref="AD60">SUM(($L60:$Z60)*($L$11:$Z$11)*($L$12:$Z$12=AD$12))</f>
        <v>0</v>
      </c>
      <c r="AE60" s="1374" t="e">
        <f t="shared" si="12"/>
        <v>#DIV/0!</v>
      </c>
      <c r="AF60" s="399" t="e">
        <f t="shared" si="13"/>
        <v>#DIV/0!</v>
      </c>
      <c r="AG60" s="399" t="e">
        <f t="shared" si="14"/>
        <v>#DIV/0!</v>
      </c>
      <c r="AH60" s="1308" t="e">
        <f t="shared" si="7"/>
        <v>#DIV/0!</v>
      </c>
      <c r="AI60" s="1374">
        <f t="array" ref="AI60">IF(SUM(($L60:$Z60)*($L$11:$Z$11)*($L$12:$Z$12=AI$12))&gt;0,100,0)</f>
        <v>0</v>
      </c>
      <c r="AJ60" s="399">
        <f t="array" ref="AJ60">IF(SUM(($L60:$Z60)*($L$11:$Z$11)*($L$12:$Z$12=AJ$12))&gt;0,100,0)</f>
        <v>0</v>
      </c>
      <c r="AK60" s="399">
        <f t="array" ref="AK60">IF(SUM(($L60:$Z60)*($L$11:$Z$11)*($L$12:$Z$12=AK$12))&gt;0,100,0)</f>
        <v>0</v>
      </c>
      <c r="AL60" s="1308">
        <f t="array" ref="AL60">IF(SUM(($L60:$Z60)*($L$11:$Z$11)*($L$12:$Z$12=AL$12))&gt;0,100,0)</f>
        <v>0</v>
      </c>
      <c r="AM60" s="1374" t="str">
        <f t="array" ref="AM60">IF(G60&lt;&gt;0,SUM(($L60:$Z60)*($L$12:$Z$12=AM$12))/G60*100,нет)</f>
        <v>нет</v>
      </c>
      <c r="AN60" s="399" t="str">
        <f t="array" ref="AN60">IF(H60&lt;&gt;0,SUM(($L60:$Z60)*($L$12:$Z$12=AN$12))/H60*100,нет)</f>
        <v>нет</v>
      </c>
      <c r="AO60" s="399" t="str">
        <f t="array" ref="AO60">IF(SUM($I60:$J60)&lt;&gt;0,SUM(($L60:$Z60)*($L$12:$Z$12=AO$12))/SUM($I60:$J60)*100,нет)</f>
        <v>нет</v>
      </c>
      <c r="AP60" s="1308" t="str">
        <f t="array" ref="AP60">IF(K60&lt;&gt;0,SUM(($L60:$Z60)*($L$12:$Z$12=AP$12))/K60*100,нет)</f>
        <v>нет</v>
      </c>
      <c r="AQ60" s="1372">
        <f t="array" ref="AQ60">SUM(($L60:$Z60)*($L$12:$Z$12=AQ$12))</f>
        <v>0</v>
      </c>
      <c r="AR60" s="742">
        <f t="array" ref="AR60">SUM(($L60:$Z60)*($L$12:$Z$12=AR$12))</f>
        <v>0</v>
      </c>
      <c r="AS60" s="742">
        <f t="array" ref="AS60">SUM(($L60:$Z60)*($L$12:$Z$12=AS$12))</f>
        <v>0</v>
      </c>
      <c r="AT60" s="1373">
        <f t="array" ref="AT60">SUM(($L60:$Z60)*($L$12:$Z$12=AT$12))</f>
        <v>0</v>
      </c>
      <c r="AU60" s="376"/>
      <c r="AV60" s="376"/>
      <c r="AW60" s="376"/>
      <c r="AX60" s="182"/>
      <c r="AY60" s="262"/>
    </row>
    <row r="61" spans="1:53" s="285" customFormat="1" ht="15" thickBot="1" x14ac:dyDescent="0.25">
      <c r="A61" s="551" t="str">
        <f>IF(LEN(КАФЕДРА!A61)&gt;2,КАФЕДРА!A61,"")</f>
        <v>Эпидемиологии, микробиологии и вирусологии</v>
      </c>
      <c r="B61" s="960" t="str">
        <f>IF(LEN(КАФЕДРА!B61)&gt;2,КАФЕДРА!B61,"")</f>
        <v>Заведующий кафедрой</v>
      </c>
      <c r="C61" s="792">
        <f>IF(LEN(КАФЕДРА!$A61)&gt;2,КАФЕДРА!C61,0)</f>
        <v>0</v>
      </c>
      <c r="D61" s="1367" t="str">
        <f t="shared" si="15"/>
        <v>нет</v>
      </c>
      <c r="E61" s="719">
        <f t="shared" si="6"/>
        <v>0</v>
      </c>
      <c r="F61" s="399">
        <f t="array" ref="F61">SUM(($L61:$Z61)*($L$11:$Z$11))</f>
        <v>0</v>
      </c>
      <c r="G61" s="1870"/>
      <c r="H61" s="1894"/>
      <c r="I61" s="1866"/>
      <c r="J61" s="1394"/>
      <c r="K61" s="1368"/>
      <c r="L61" s="1877"/>
      <c r="M61" s="1876"/>
      <c r="N61" s="1878"/>
      <c r="O61" s="1369"/>
      <c r="P61" s="1399"/>
      <c r="Q61" s="1394"/>
      <c r="R61" s="1394"/>
      <c r="S61" s="1886"/>
      <c r="T61" s="1370"/>
      <c r="U61" s="1371"/>
      <c r="V61" s="1371"/>
      <c r="W61" s="1371"/>
      <c r="X61" s="1371"/>
      <c r="Y61" s="1371"/>
      <c r="Z61" s="1368"/>
      <c r="AA61" s="1372">
        <f t="array" ref="AA61">SUM(($L61:$Z61)*($L$11:$Z$11)*($L$12:$Z$12=AA$12))</f>
        <v>0</v>
      </c>
      <c r="AB61" s="742">
        <f t="array" ref="AB61">SUM(($L61:$Z61)*($L$11:$Z$11)*($L$12:$Z$12=AB$12))</f>
        <v>0</v>
      </c>
      <c r="AC61" s="742">
        <f t="array" ref="AC61">SUM(($L61:$Z61)*($L$11:$Z$11)*($L$12:$Z$12=AC$12))</f>
        <v>0</v>
      </c>
      <c r="AD61" s="1373">
        <f t="array" ref="AD61">SUM(($L61:$Z61)*($L$11:$Z$11)*($L$12:$Z$12=AD$12))</f>
        <v>0</v>
      </c>
      <c r="AE61" s="1374" t="e">
        <f t="shared" si="12"/>
        <v>#DIV/0!</v>
      </c>
      <c r="AF61" s="399" t="e">
        <f t="shared" si="13"/>
        <v>#DIV/0!</v>
      </c>
      <c r="AG61" s="399" t="e">
        <f t="shared" si="14"/>
        <v>#DIV/0!</v>
      </c>
      <c r="AH61" s="1308" t="e">
        <f t="shared" si="7"/>
        <v>#DIV/0!</v>
      </c>
      <c r="AI61" s="1374">
        <f t="array" ref="AI61">IF(SUM(($L61:$Z61)*($L$11:$Z$11)*($L$12:$Z$12=AI$12))&gt;0,100,0)</f>
        <v>0</v>
      </c>
      <c r="AJ61" s="399">
        <f t="array" ref="AJ61">IF(SUM(($L61:$Z61)*($L$11:$Z$11)*($L$12:$Z$12=AJ$12))&gt;0,100,0)</f>
        <v>0</v>
      </c>
      <c r="AK61" s="399">
        <f t="array" ref="AK61">IF(SUM(($L61:$Z61)*($L$11:$Z$11)*($L$12:$Z$12=AK$12))&gt;0,100,0)</f>
        <v>0</v>
      </c>
      <c r="AL61" s="1308">
        <f t="array" ref="AL61">IF(SUM(($L61:$Z61)*($L$11:$Z$11)*($L$12:$Z$12=AL$12))&gt;0,100,0)</f>
        <v>0</v>
      </c>
      <c r="AM61" s="1374" t="str">
        <f t="array" ref="AM61">IF(G61&lt;&gt;0,SUM(($L61:$Z61)*($L$12:$Z$12=AM$12))/G61*100,нет)</f>
        <v>нет</v>
      </c>
      <c r="AN61" s="399" t="str">
        <f t="array" ref="AN61">IF(H61&lt;&gt;0,SUM(($L61:$Z61)*($L$12:$Z$12=AN$12))/H61*100,нет)</f>
        <v>нет</v>
      </c>
      <c r="AO61" s="399" t="str">
        <f t="array" ref="AO61">IF(SUM($I61:$J61)&lt;&gt;0,SUM(($L61:$Z61)*($L$12:$Z$12=AO$12))/SUM($I61:$J61)*100,нет)</f>
        <v>нет</v>
      </c>
      <c r="AP61" s="1308" t="str">
        <f t="array" ref="AP61">IF(K61&lt;&gt;0,SUM(($L61:$Z61)*($L$12:$Z$12=AP$12))/K61*100,нет)</f>
        <v>нет</v>
      </c>
      <c r="AQ61" s="1372">
        <f t="array" ref="AQ61">SUM(($L61:$Z61)*($L$12:$Z$12=AQ$12))</f>
        <v>0</v>
      </c>
      <c r="AR61" s="742">
        <f t="array" ref="AR61">SUM(($L61:$Z61)*($L$12:$Z$12=AR$12))</f>
        <v>0</v>
      </c>
      <c r="AS61" s="742">
        <f t="array" ref="AS61">SUM(($L61:$Z61)*($L$12:$Z$12=AS$12))</f>
        <v>0</v>
      </c>
      <c r="AT61" s="1373">
        <f t="array" ref="AT61">SUM(($L61:$Z61)*($L$12:$Z$12=AT$12))</f>
        <v>0</v>
      </c>
      <c r="AU61" s="376"/>
      <c r="AV61" s="376"/>
      <c r="AW61" s="376"/>
      <c r="AX61" s="182"/>
      <c r="AY61" s="262"/>
      <c r="AZ61" s="588"/>
      <c r="BA61" s="588"/>
    </row>
    <row r="62" spans="1:53" s="372" customFormat="1" ht="15" thickBot="1" x14ac:dyDescent="0.25">
      <c r="A62" s="1172" t="str">
        <f>IF(LEN(КАФЕДРА!A62)&gt;2,КАФЕДРА!A62,"")</f>
        <v>Социально-гуманитарных наук</v>
      </c>
      <c r="B62" s="1174" t="str">
        <f>IF(LEN(КАФЕДРА!B62)&gt;2,КАФЕДРА!B62,"")</f>
        <v>Заведующий кафедрой</v>
      </c>
      <c r="C62" s="1188">
        <f>IF(LEN(КАФЕДРА!$A62)&gt;2,КАФЕДРА!C62,0)</f>
        <v>0</v>
      </c>
      <c r="D62" s="1367" t="str">
        <f t="shared" si="15"/>
        <v>нет</v>
      </c>
      <c r="E62" s="1375">
        <f>IF($C62=0,0,$F62/$C62)</f>
        <v>0</v>
      </c>
      <c r="F62" s="1200">
        <f t="array" ref="F62">SUM(($L62:$Z62)*($L$11:$Z$11))</f>
        <v>0</v>
      </c>
      <c r="G62" s="1871"/>
      <c r="H62" s="1895"/>
      <c r="I62" s="1867"/>
      <c r="J62" s="1396"/>
      <c r="K62" s="1376"/>
      <c r="L62" s="1880"/>
      <c r="M62" s="1879"/>
      <c r="N62" s="1881"/>
      <c r="O62" s="1377"/>
      <c r="P62" s="1400"/>
      <c r="Q62" s="1396"/>
      <c r="R62" s="1396"/>
      <c r="S62" s="1887"/>
      <c r="T62" s="1378"/>
      <c r="U62" s="1379"/>
      <c r="V62" s="1379"/>
      <c r="W62" s="1379"/>
      <c r="X62" s="1379"/>
      <c r="Y62" s="1379"/>
      <c r="Z62" s="1376"/>
      <c r="AA62" s="1380">
        <f t="array" ref="AA62">SUM(($L62:$Z62)*($L$11:$Z$11)*($L$12:$Z$12=AA$12))</f>
        <v>0</v>
      </c>
      <c r="AB62" s="1381">
        <f t="array" ref="AB62">SUM(($L62:$Z62)*($L$11:$Z$11)*($L$12:$Z$12=AB$12))</f>
        <v>0</v>
      </c>
      <c r="AC62" s="1381">
        <f t="array" ref="AC62">SUM(($L62:$Z62)*($L$11:$Z$11)*($L$12:$Z$12=AC$12))</f>
        <v>0</v>
      </c>
      <c r="AD62" s="1382">
        <f t="array" ref="AD62">SUM(($L62:$Z62)*($L$11:$Z$11)*($L$12:$Z$12=AD$12))</f>
        <v>0</v>
      </c>
      <c r="AE62" s="1383" t="e">
        <f t="shared" si="12"/>
        <v>#DIV/0!</v>
      </c>
      <c r="AF62" s="1200" t="e">
        <f t="shared" si="13"/>
        <v>#DIV/0!</v>
      </c>
      <c r="AG62" s="1200" t="e">
        <f t="shared" si="14"/>
        <v>#DIV/0!</v>
      </c>
      <c r="AH62" s="1384" t="e">
        <f t="shared" ref="AH62:AH63" si="16">AD62/$C62</f>
        <v>#DIV/0!</v>
      </c>
      <c r="AI62" s="1383">
        <f t="array" ref="AI62">IF(SUM(($L62:$Z62)*($L$11:$Z$11)*($L$12:$Z$12=AI$12))&gt;0,100,0)</f>
        <v>0</v>
      </c>
      <c r="AJ62" s="1200">
        <f t="array" ref="AJ62">IF(SUM(($L62:$Z62)*($L$11:$Z$11)*($L$12:$Z$12=AJ$12))&gt;0,100,0)</f>
        <v>0</v>
      </c>
      <c r="AK62" s="1200">
        <f t="array" ref="AK62">IF(SUM(($L62:$Z62)*($L$11:$Z$11)*($L$12:$Z$12=AK$12))&gt;0,100,0)</f>
        <v>0</v>
      </c>
      <c r="AL62" s="1384">
        <f t="array" ref="AL62">IF(SUM(($L62:$Z62)*($L$11:$Z$11)*($L$12:$Z$12=AL$12))&gt;0,100,0)</f>
        <v>0</v>
      </c>
      <c r="AM62" s="1383" t="str">
        <f t="array" ref="AM62">IF(G62&lt;&gt;0,SUM(($L62:$Z62)*($L$12:$Z$12=AM$12))/G62*100,нет)</f>
        <v>нет</v>
      </c>
      <c r="AN62" s="1200" t="str">
        <f t="array" ref="AN62">IF(H62&lt;&gt;0,SUM(($L62:$Z62)*($L$12:$Z$12=AN$12))/H62*100,нет)</f>
        <v>нет</v>
      </c>
      <c r="AO62" s="1200" t="str">
        <f t="array" ref="AO62">IF(SUM($I62:$J62)&lt;&gt;0,SUM(($L62:$Z62)*($L$12:$Z$12=AO$12))/SUM($I62:$J62)*100,нет)</f>
        <v>нет</v>
      </c>
      <c r="AP62" s="1384" t="str">
        <f t="array" ref="AP62">IF(K62&lt;&gt;0,SUM(($L62:$Z62)*($L$12:$Z$12=AP$12))/K62*100,нет)</f>
        <v>нет</v>
      </c>
      <c r="AQ62" s="1380">
        <f t="array" ref="AQ62">SUM(($L62:$Z62)*($L$12:$Z$12=AQ$12))</f>
        <v>0</v>
      </c>
      <c r="AR62" s="1381">
        <f t="array" ref="AR62">SUM(($L62:$Z62)*($L$12:$Z$12=AR$12))</f>
        <v>0</v>
      </c>
      <c r="AS62" s="1381">
        <f t="array" ref="AS62">SUM(($L62:$Z62)*($L$12:$Z$12=AS$12))</f>
        <v>0</v>
      </c>
      <c r="AT62" s="1382">
        <f t="array" ref="AT62">SUM(($L62:$Z62)*($L$12:$Z$12=AT$12))</f>
        <v>0</v>
      </c>
      <c r="AU62" s="376"/>
      <c r="AV62" s="376"/>
      <c r="AW62" s="376"/>
      <c r="AX62" s="182"/>
      <c r="AY62" s="262"/>
    </row>
    <row r="63" spans="1:53" s="728" customFormat="1" ht="15" thickBot="1" x14ac:dyDescent="0.25">
      <c r="A63" s="579" t="str">
        <f>IF(LEN(КАФЕДРА!A63)&gt;2,КАФЕДРА!A63,"")</f>
        <v>Сестринского дела</v>
      </c>
      <c r="B63" s="580" t="str">
        <f>IF(LEN(КАФЕДРА!B63)&gt;2,КАФЕДРА!B63,"")</f>
        <v>Заведующий кафедрой</v>
      </c>
      <c r="C63" s="794">
        <f>IF(LEN(КАФЕДРА!$A63)&gt;2,КАФЕДРА!C63,0)</f>
        <v>0</v>
      </c>
      <c r="D63" s="1367" t="str">
        <f t="shared" si="15"/>
        <v>нет</v>
      </c>
      <c r="E63" s="593">
        <f>IF($C63=0,0,$F63/$C63)</f>
        <v>0</v>
      </c>
      <c r="F63" s="780">
        <f t="array" ref="F63">SUM(($L63:$Z63)*($L$11:$Z$11))</f>
        <v>0</v>
      </c>
      <c r="G63" s="1872"/>
      <c r="H63" s="1896"/>
      <c r="I63" s="1868"/>
      <c r="J63" s="1397"/>
      <c r="K63" s="1389"/>
      <c r="L63" s="1883"/>
      <c r="M63" s="1882"/>
      <c r="N63" s="1884"/>
      <c r="O63" s="1897"/>
      <c r="P63" s="1401"/>
      <c r="Q63" s="1397"/>
      <c r="R63" s="1397"/>
      <c r="S63" s="1888"/>
      <c r="T63" s="1390"/>
      <c r="U63" s="1391"/>
      <c r="V63" s="1391"/>
      <c r="W63" s="1391"/>
      <c r="X63" s="1391"/>
      <c r="Y63" s="1391"/>
      <c r="Z63" s="1389"/>
      <c r="AA63" s="704">
        <f t="array" ref="AA63">SUM(($L63:$Z63)*($L$11:$Z$11)*($L$12:$Z$12=AA$12))</f>
        <v>0</v>
      </c>
      <c r="AB63" s="590">
        <f t="array" ref="AB63">SUM(($L63:$Z63)*($L$11:$Z$11)*($L$12:$Z$12=AB$12))</f>
        <v>0</v>
      </c>
      <c r="AC63" s="590">
        <f t="array" ref="AC63">SUM(($L63:$Z63)*($L$11:$Z$11)*($L$12:$Z$12=AC$12))</f>
        <v>0</v>
      </c>
      <c r="AD63" s="1392">
        <f t="array" ref="AD63">SUM(($L63:$Z63)*($L$11:$Z$11)*($L$12:$Z$12=AD$12))</f>
        <v>0</v>
      </c>
      <c r="AE63" s="1393" t="e">
        <f t="shared" si="12"/>
        <v>#DIV/0!</v>
      </c>
      <c r="AF63" s="780" t="e">
        <f t="shared" si="13"/>
        <v>#DIV/0!</v>
      </c>
      <c r="AG63" s="780" t="e">
        <f t="shared" si="14"/>
        <v>#DIV/0!</v>
      </c>
      <c r="AH63" s="1321" t="e">
        <f t="shared" si="16"/>
        <v>#DIV/0!</v>
      </c>
      <c r="AI63" s="1393">
        <f t="array" ref="AI63">IF(SUM(($L63:$Z63)*($L$11:$Z$11)*($L$12:$Z$12=AI$12))&gt;0,100,0)</f>
        <v>0</v>
      </c>
      <c r="AJ63" s="780">
        <f t="array" ref="AJ63">IF(SUM(($L63:$Z63)*($L$11:$Z$11)*($L$12:$Z$12=AJ$12))&gt;0,100,0)</f>
        <v>0</v>
      </c>
      <c r="AK63" s="780">
        <f t="array" ref="AK63">IF(SUM(($L63:$Z63)*($L$11:$Z$11)*($L$12:$Z$12=AK$12))&gt;0,100,0)</f>
        <v>0</v>
      </c>
      <c r="AL63" s="1321">
        <f t="array" ref="AL63">IF(SUM(($L63:$Z63)*($L$11:$Z$11)*($L$12:$Z$12=AL$12))&gt;0,100,0)</f>
        <v>0</v>
      </c>
      <c r="AM63" s="1393" t="str">
        <f t="array" ref="AM63">IF(G63&lt;&gt;0,SUM(($L63:$Z63)*($L$12:$Z$12=AM$12))/G63*100,нет)</f>
        <v>нет</v>
      </c>
      <c r="AN63" s="780" t="str">
        <f t="array" ref="AN63">IF(H63&lt;&gt;0,SUM(($L63:$Z63)*($L$12:$Z$12=AN$12))/H63*100,нет)</f>
        <v>нет</v>
      </c>
      <c r="AO63" s="780" t="str">
        <f t="array" ref="AO63">IF(SUM($I63:$J63)&lt;&gt;0,SUM(($L63:$Z63)*($L$12:$Z$12=AO$12))/SUM($I63:$J63)*100,нет)</f>
        <v>нет</v>
      </c>
      <c r="AP63" s="1321" t="str">
        <f t="array" ref="AP63">IF(K63&lt;&gt;0,SUM(($L63:$Z63)*($L$12:$Z$12=AP$12))/K63*100,нет)</f>
        <v>нет</v>
      </c>
      <c r="AQ63" s="704">
        <f t="array" ref="AQ63">SUM(($L63:$Z63)*($L$12:$Z$12=AQ$12))</f>
        <v>0</v>
      </c>
      <c r="AR63" s="590">
        <f t="array" ref="AR63">SUM(($L63:$Z63)*($L$12:$Z$12=AR$12))</f>
        <v>0</v>
      </c>
      <c r="AS63" s="590">
        <f t="array" ref="AS63">SUM(($L63:$Z63)*($L$12:$Z$12=AS$12))</f>
        <v>0</v>
      </c>
      <c r="AT63" s="1392">
        <f t="array" ref="AT63">SUM(($L63:$Z63)*($L$12:$Z$12=AT$12))</f>
        <v>0</v>
      </c>
      <c r="AU63" s="1130"/>
      <c r="AV63" s="1130"/>
      <c r="AW63" s="1130"/>
      <c r="AY63" s="1131"/>
    </row>
    <row r="64" spans="1:53" s="371" customFormat="1" ht="15" thickBot="1" x14ac:dyDescent="0.25">
      <c r="A64" s="582" t="str">
        <f>IF(LEN(КАФЕДРА!A64)&gt;2,КАФЕДРА!A64,"")</f>
        <v>Биологической химии, клинической лабораторной диагностики</v>
      </c>
      <c r="B64" s="370" t="str">
        <f>IF(LEN(КАФЕДРА!B64)&gt;2,КАФЕДРА!B64,"")</f>
        <v>Заведующий кафедрой</v>
      </c>
      <c r="C64" s="805">
        <f>IF(LEN(КАФЕДРА!$A64)&gt;2,КАФЕДРА!C64,0)</f>
        <v>0</v>
      </c>
      <c r="D64" s="1367" t="str">
        <f t="shared" si="15"/>
        <v>нет</v>
      </c>
      <c r="E64" s="719">
        <f t="shared" si="6"/>
        <v>0</v>
      </c>
      <c r="F64" s="399">
        <f t="array" ref="F64">SUM(($L64:$Z64)*($L$11:$Z$11))</f>
        <v>0</v>
      </c>
      <c r="G64" s="1869"/>
      <c r="H64" s="1892"/>
      <c r="I64" s="1865"/>
      <c r="J64" s="1395"/>
      <c r="K64" s="1361"/>
      <c r="L64" s="1874"/>
      <c r="M64" s="1873"/>
      <c r="N64" s="1875"/>
      <c r="O64" s="1893"/>
      <c r="P64" s="1398"/>
      <c r="Q64" s="1395"/>
      <c r="R64" s="1395"/>
      <c r="S64" s="1885"/>
      <c r="T64" s="1362"/>
      <c r="U64" s="1363"/>
      <c r="V64" s="1363"/>
      <c r="W64" s="1363"/>
      <c r="X64" s="1363"/>
      <c r="Y64" s="1363"/>
      <c r="Z64" s="1361"/>
      <c r="AA64" s="1364">
        <f t="array" ref="AA64">SUM(($L64:$Z64)*($L$11:$Z$11)*($L$12:$Z$12=AA$12))</f>
        <v>0</v>
      </c>
      <c r="AB64" s="1287">
        <f t="array" ref="AB64">SUM(($L64:$Z64)*($L$11:$Z$11)*($L$12:$Z$12=AB$12))</f>
        <v>0</v>
      </c>
      <c r="AC64" s="1287">
        <f t="array" ref="AC64">SUM(($L64:$Z64)*($L$11:$Z$11)*($L$12:$Z$12=AC$12))</f>
        <v>0</v>
      </c>
      <c r="AD64" s="1365">
        <f t="array" ref="AD64">SUM(($L64:$Z64)*($L$11:$Z$11)*($L$12:$Z$12=AD$12))</f>
        <v>0</v>
      </c>
      <c r="AE64" s="1366" t="e">
        <f t="shared" si="12"/>
        <v>#DIV/0!</v>
      </c>
      <c r="AF64" s="1205" t="e">
        <f t="shared" si="13"/>
        <v>#DIV/0!</v>
      </c>
      <c r="AG64" s="1205" t="e">
        <f t="shared" si="14"/>
        <v>#DIV/0!</v>
      </c>
      <c r="AH64" s="1288" t="e">
        <f t="shared" si="7"/>
        <v>#DIV/0!</v>
      </c>
      <c r="AI64" s="1366">
        <f t="array" ref="AI64">IF(SUM(($L64:$Z64)*($L$11:$Z$11)*($L$12:$Z$12=AI$12))&gt;0,100,0)</f>
        <v>0</v>
      </c>
      <c r="AJ64" s="1205">
        <f t="array" ref="AJ64">IF(SUM(($L64:$Z64)*($L$11:$Z$11)*($L$12:$Z$12=AJ$12))&gt;0,100,0)</f>
        <v>0</v>
      </c>
      <c r="AK64" s="1205">
        <f t="array" ref="AK64">IF(SUM(($L64:$Z64)*($L$11:$Z$11)*($L$12:$Z$12=AK$12))&gt;0,100,0)</f>
        <v>0</v>
      </c>
      <c r="AL64" s="1288">
        <f t="array" ref="AL64">IF(SUM(($L64:$Z64)*($L$11:$Z$11)*($L$12:$Z$12=AL$12))&gt;0,100,0)</f>
        <v>0</v>
      </c>
      <c r="AM64" s="1366" t="str">
        <f t="array" ref="AM64">IF(G64&lt;&gt;0,SUM(($L64:$Z64)*($L$12:$Z$12=AM$12))/G64*100,нет)</f>
        <v>нет</v>
      </c>
      <c r="AN64" s="1205" t="str">
        <f t="array" ref="AN64">IF(H64&lt;&gt;0,SUM(($L64:$Z64)*($L$12:$Z$12=AN$12))/H64*100,нет)</f>
        <v>нет</v>
      </c>
      <c r="AO64" s="1205" t="str">
        <f t="array" ref="AO64">IF(SUM($I64:$J64)&lt;&gt;0,SUM(($L64:$Z64)*($L$12:$Z$12=AO$12))/SUM($I64:$J64)*100,нет)</f>
        <v>нет</v>
      </c>
      <c r="AP64" s="1288" t="str">
        <f t="array" ref="AP64">IF(K64&lt;&gt;0,SUM(($L64:$Z64)*($L$12:$Z$12=AP$12))/K64*100,нет)</f>
        <v>нет</v>
      </c>
      <c r="AQ64" s="1364">
        <f t="array" ref="AQ64">SUM(($L64:$Z64)*($L$12:$Z$12=AQ$12))</f>
        <v>0</v>
      </c>
      <c r="AR64" s="1287">
        <f t="array" ref="AR64">SUM(($L64:$Z64)*($L$12:$Z$12=AR$12))</f>
        <v>0</v>
      </c>
      <c r="AS64" s="1287">
        <f t="array" ref="AS64">SUM(($L64:$Z64)*($L$12:$Z$12=AS$12))</f>
        <v>0</v>
      </c>
      <c r="AT64" s="1365">
        <f t="array" ref="AT64">SUM(($L64:$Z64)*($L$12:$Z$12=AT$12))</f>
        <v>0</v>
      </c>
      <c r="AU64" s="1126"/>
      <c r="AV64" s="1126"/>
      <c r="AW64" s="1126"/>
      <c r="AY64" s="1127"/>
      <c r="AZ64" s="1129"/>
    </row>
    <row r="65" spans="1:64" s="371" customFormat="1" x14ac:dyDescent="0.2">
      <c r="A65" s="551" t="str">
        <f>IF(LEN(КАФЕДРА!A65)&gt;2,КАФЕДРА!A65,"")</f>
        <v>Химии</v>
      </c>
      <c r="B65" s="960" t="str">
        <f>IF(LEN(КАФЕДРА!B65)&gt;2,КАФЕДРА!B65,"")</f>
        <v>Заведующий кафедрой</v>
      </c>
      <c r="C65" s="797">
        <f>IF(LEN(КАФЕДРА!$A65)&gt;2,КАФЕДРА!C65,0)</f>
        <v>0</v>
      </c>
      <c r="D65" s="1367" t="str">
        <f t="shared" si="15"/>
        <v>нет</v>
      </c>
      <c r="E65" s="719">
        <f t="shared" si="6"/>
        <v>0</v>
      </c>
      <c r="F65" s="399">
        <f t="array" ref="F65">SUM(($L65:$Z65)*($L$11:$Z$11))</f>
        <v>0</v>
      </c>
      <c r="G65" s="1870"/>
      <c r="H65" s="1894"/>
      <c r="I65" s="1866"/>
      <c r="J65" s="1394"/>
      <c r="K65" s="1368"/>
      <c r="L65" s="1877"/>
      <c r="M65" s="1876"/>
      <c r="N65" s="1878"/>
      <c r="O65" s="1369"/>
      <c r="P65" s="1399"/>
      <c r="Q65" s="1394"/>
      <c r="R65" s="1394"/>
      <c r="S65" s="1886"/>
      <c r="T65" s="1370"/>
      <c r="U65" s="1371"/>
      <c r="V65" s="1371"/>
      <c r="W65" s="1371"/>
      <c r="X65" s="1371"/>
      <c r="Y65" s="1371"/>
      <c r="Z65" s="1368"/>
      <c r="AA65" s="1372">
        <f t="array" ref="AA65">SUM(($L65:$Z65)*($L$11:$Z$11)*($L$12:$Z$12=AA$12))</f>
        <v>0</v>
      </c>
      <c r="AB65" s="742">
        <f t="array" ref="AB65">SUM(($L65:$Z65)*($L$11:$Z$11)*($L$12:$Z$12=AB$12))</f>
        <v>0</v>
      </c>
      <c r="AC65" s="742">
        <f t="array" ref="AC65">SUM(($L65:$Z65)*($L$11:$Z$11)*($L$12:$Z$12=AC$12))</f>
        <v>0</v>
      </c>
      <c r="AD65" s="1373">
        <f t="array" ref="AD65">SUM(($L65:$Z65)*($L$11:$Z$11)*($L$12:$Z$12=AD$12))</f>
        <v>0</v>
      </c>
      <c r="AE65" s="1374" t="e">
        <f t="shared" si="12"/>
        <v>#DIV/0!</v>
      </c>
      <c r="AF65" s="399" t="e">
        <f t="shared" si="13"/>
        <v>#DIV/0!</v>
      </c>
      <c r="AG65" s="399" t="e">
        <f t="shared" si="14"/>
        <v>#DIV/0!</v>
      </c>
      <c r="AH65" s="1308" t="e">
        <f t="shared" si="7"/>
        <v>#DIV/0!</v>
      </c>
      <c r="AI65" s="1374">
        <f t="array" ref="AI65">IF(SUM(($L65:$Z65)*($L$11:$Z$11)*($L$12:$Z$12=AI$12))&gt;0,100,0)</f>
        <v>0</v>
      </c>
      <c r="AJ65" s="399">
        <f t="array" ref="AJ65">IF(SUM(($L65:$Z65)*($L$11:$Z$11)*($L$12:$Z$12=AJ$12))&gt;0,100,0)</f>
        <v>0</v>
      </c>
      <c r="AK65" s="399">
        <f t="array" ref="AK65">IF(SUM(($L65:$Z65)*($L$11:$Z$11)*($L$12:$Z$12=AK$12))&gt;0,100,0)</f>
        <v>0</v>
      </c>
      <c r="AL65" s="1308">
        <f t="array" ref="AL65">IF(SUM(($L65:$Z65)*($L$11:$Z$11)*($L$12:$Z$12=AL$12))&gt;0,100,0)</f>
        <v>0</v>
      </c>
      <c r="AM65" s="1374" t="str">
        <f t="array" ref="AM65">IF(G65&lt;&gt;0,SUM(($L65:$Z65)*($L$12:$Z$12=AM$12))/G65*100,нет)</f>
        <v>нет</v>
      </c>
      <c r="AN65" s="399" t="str">
        <f t="array" ref="AN65">IF(H65&lt;&gt;0,SUM(($L65:$Z65)*($L$12:$Z$12=AN$12))/H65*100,нет)</f>
        <v>нет</v>
      </c>
      <c r="AO65" s="399" t="str">
        <f t="array" ref="AO65">IF(SUM($I65:$J65)&lt;&gt;0,SUM(($L65:$Z65)*($L$12:$Z$12=AO$12))/SUM($I65:$J65)*100,нет)</f>
        <v>нет</v>
      </c>
      <c r="AP65" s="1308" t="str">
        <f t="array" ref="AP65">IF(K65&lt;&gt;0,SUM(($L65:$Z65)*($L$12:$Z$12=AP$12))/K65*100,нет)</f>
        <v>нет</v>
      </c>
      <c r="AQ65" s="1372">
        <f t="array" ref="AQ65">SUM(($L65:$Z65)*($L$12:$Z$12=AQ$12))</f>
        <v>0</v>
      </c>
      <c r="AR65" s="742">
        <f t="array" ref="AR65">SUM(($L65:$Z65)*($L$12:$Z$12=AR$12))</f>
        <v>0</v>
      </c>
      <c r="AS65" s="742">
        <f t="array" ref="AS65">SUM(($L65:$Z65)*($L$12:$Z$12=AS$12))</f>
        <v>0</v>
      </c>
      <c r="AT65" s="1373">
        <f t="array" ref="AT65">SUM(($L65:$Z65)*($L$12:$Z$12=AT$12))</f>
        <v>0</v>
      </c>
      <c r="AU65" s="376"/>
      <c r="AV65" s="376"/>
      <c r="AW65" s="376"/>
      <c r="AX65" s="182"/>
      <c r="AY65" s="262"/>
      <c r="AZ65" s="372"/>
      <c r="BA65" s="591"/>
    </row>
    <row r="66" spans="1:64" s="372" customFormat="1" x14ac:dyDescent="0.2">
      <c r="A66" s="551" t="str">
        <f>IF(LEN(КАФЕДРА!A66)&gt;2,КАФЕДРА!A66,"")</f>
        <v>Фармакологии имени профессора В.М. Брюханова</v>
      </c>
      <c r="B66" s="960" t="str">
        <f>IF(LEN(КАФЕДРА!B66)&gt;2,КАФЕДРА!B66,"")</f>
        <v>Заведующий кафедрой</v>
      </c>
      <c r="C66" s="797">
        <f>IF(LEN(КАФЕДРА!$A66)&gt;2,КАФЕДРА!C66,0)</f>
        <v>0</v>
      </c>
      <c r="D66" s="1367" t="str">
        <f t="shared" si="15"/>
        <v>нет</v>
      </c>
      <c r="E66" s="719">
        <f t="shared" si="6"/>
        <v>0</v>
      </c>
      <c r="F66" s="399">
        <f t="array" ref="F66">SUM(($L66:$Z66)*($L$11:$Z$11))</f>
        <v>0</v>
      </c>
      <c r="G66" s="1870"/>
      <c r="H66" s="1894"/>
      <c r="I66" s="1866"/>
      <c r="J66" s="1394"/>
      <c r="K66" s="1368"/>
      <c r="L66" s="1877"/>
      <c r="M66" s="1876"/>
      <c r="N66" s="1878"/>
      <c r="O66" s="1369"/>
      <c r="P66" s="1399"/>
      <c r="Q66" s="1394"/>
      <c r="R66" s="1394"/>
      <c r="S66" s="1886"/>
      <c r="T66" s="1370"/>
      <c r="U66" s="1371"/>
      <c r="V66" s="1371"/>
      <c r="W66" s="1371"/>
      <c r="X66" s="1371"/>
      <c r="Y66" s="1371"/>
      <c r="Z66" s="1368"/>
      <c r="AA66" s="1372">
        <f t="array" ref="AA66">SUM(($L66:$Z66)*($L$11:$Z$11)*($L$12:$Z$12=AA$12))</f>
        <v>0</v>
      </c>
      <c r="AB66" s="742">
        <f t="array" ref="AB66">SUM(($L66:$Z66)*($L$11:$Z$11)*($L$12:$Z$12=AB$12))</f>
        <v>0</v>
      </c>
      <c r="AC66" s="742">
        <f t="array" ref="AC66">SUM(($L66:$Z66)*($L$11:$Z$11)*($L$12:$Z$12=AC$12))</f>
        <v>0</v>
      </c>
      <c r="AD66" s="1373">
        <f t="array" ref="AD66">SUM(($L66:$Z66)*($L$11:$Z$11)*($L$12:$Z$12=AD$12))</f>
        <v>0</v>
      </c>
      <c r="AE66" s="1374" t="e">
        <f t="shared" si="12"/>
        <v>#DIV/0!</v>
      </c>
      <c r="AF66" s="399" t="e">
        <f t="shared" si="13"/>
        <v>#DIV/0!</v>
      </c>
      <c r="AG66" s="399" t="e">
        <f t="shared" si="14"/>
        <v>#DIV/0!</v>
      </c>
      <c r="AH66" s="1308" t="e">
        <f t="shared" si="7"/>
        <v>#DIV/0!</v>
      </c>
      <c r="AI66" s="1374">
        <f t="array" ref="AI66">IF(SUM(($L66:$Z66)*($L$11:$Z$11)*($L$12:$Z$12=AI$12))&gt;0,100,0)</f>
        <v>0</v>
      </c>
      <c r="AJ66" s="399">
        <f t="array" ref="AJ66">IF(SUM(($L66:$Z66)*($L$11:$Z$11)*($L$12:$Z$12=AJ$12))&gt;0,100,0)</f>
        <v>0</v>
      </c>
      <c r="AK66" s="399">
        <f t="array" ref="AK66">IF(SUM(($L66:$Z66)*($L$11:$Z$11)*($L$12:$Z$12=AK$12))&gt;0,100,0)</f>
        <v>0</v>
      </c>
      <c r="AL66" s="1308">
        <f t="array" ref="AL66">IF(SUM(($L66:$Z66)*($L$11:$Z$11)*($L$12:$Z$12=AL$12))&gt;0,100,0)</f>
        <v>0</v>
      </c>
      <c r="AM66" s="1374" t="str">
        <f t="array" ref="AM66">IF(G66&lt;&gt;0,SUM(($L66:$Z66)*($L$12:$Z$12=AM$12))/G66*100,нет)</f>
        <v>нет</v>
      </c>
      <c r="AN66" s="399" t="str">
        <f t="array" ref="AN66">IF(H66&lt;&gt;0,SUM(($L66:$Z66)*($L$12:$Z$12=AN$12))/H66*100,нет)</f>
        <v>нет</v>
      </c>
      <c r="AO66" s="399" t="str">
        <f t="array" ref="AO66">IF(SUM($I66:$J66)&lt;&gt;0,SUM(($L66:$Z66)*($L$12:$Z$12=AO$12))/SUM($I66:$J66)*100,нет)</f>
        <v>нет</v>
      </c>
      <c r="AP66" s="1308" t="str">
        <f t="array" ref="AP66">IF(K66&lt;&gt;0,SUM(($L66:$Z66)*($L$12:$Z$12=AP$12))/K66*100,нет)</f>
        <v>нет</v>
      </c>
      <c r="AQ66" s="1372">
        <f t="array" ref="AQ66">SUM(($L66:$Z66)*($L$12:$Z$12=AQ$12))</f>
        <v>0</v>
      </c>
      <c r="AR66" s="742">
        <f t="array" ref="AR66">SUM(($L66:$Z66)*($L$12:$Z$12=AR$12))</f>
        <v>0</v>
      </c>
      <c r="AS66" s="742">
        <f t="array" ref="AS66">SUM(($L66:$Z66)*($L$12:$Z$12=AS$12))</f>
        <v>0</v>
      </c>
      <c r="AT66" s="1373">
        <f t="array" ref="AT66">SUM(($L66:$Z66)*($L$12:$Z$12=AT$12))</f>
        <v>0</v>
      </c>
      <c r="AU66" s="376"/>
      <c r="AV66" s="376"/>
      <c r="AW66" s="376"/>
      <c r="AX66" s="182"/>
      <c r="AY66" s="262"/>
    </row>
    <row r="67" spans="1:64" s="285" customFormat="1" ht="15" thickBot="1" x14ac:dyDescent="0.25">
      <c r="A67" s="551" t="str">
        <f>IF(LEN(КАФЕДРА!A67)&gt;2,КАФЕДРА!A67,"")</f>
        <v>Фармации</v>
      </c>
      <c r="B67" s="960" t="str">
        <f>IF(LEN(КАФЕДРА!B67)&gt;2,КАФЕДРА!B67,"")</f>
        <v>Заведующий кафедрой</v>
      </c>
      <c r="C67" s="797">
        <f>IF(LEN(КАФЕДРА!$A67)&gt;2,КАФЕДРА!C67,0)</f>
        <v>0</v>
      </c>
      <c r="D67" s="1367" t="str">
        <f t="shared" si="15"/>
        <v>нет</v>
      </c>
      <c r="E67" s="719">
        <f t="shared" si="6"/>
        <v>0</v>
      </c>
      <c r="F67" s="399">
        <f t="array" ref="F67">SUM(($L67:$Z67)*($L$11:$Z$11))</f>
        <v>0</v>
      </c>
      <c r="G67" s="1870"/>
      <c r="H67" s="1894"/>
      <c r="I67" s="1866"/>
      <c r="J67" s="1394"/>
      <c r="K67" s="1368"/>
      <c r="L67" s="1877"/>
      <c r="M67" s="1876"/>
      <c r="N67" s="1878"/>
      <c r="O67" s="1369"/>
      <c r="P67" s="1399"/>
      <c r="Q67" s="1394"/>
      <c r="R67" s="1394"/>
      <c r="S67" s="1886"/>
      <c r="T67" s="1370"/>
      <c r="U67" s="1371"/>
      <c r="V67" s="1371"/>
      <c r="W67" s="1371"/>
      <c r="X67" s="1371"/>
      <c r="Y67" s="1371"/>
      <c r="Z67" s="1368"/>
      <c r="AA67" s="1372">
        <f t="array" ref="AA67">SUM(($L67:$Z67)*($L$11:$Z$11)*($L$12:$Z$12=AA$12))</f>
        <v>0</v>
      </c>
      <c r="AB67" s="742">
        <f t="array" ref="AB67">SUM(($L67:$Z67)*($L$11:$Z$11)*($L$12:$Z$12=AB$12))</f>
        <v>0</v>
      </c>
      <c r="AC67" s="742">
        <f t="array" ref="AC67">SUM(($L67:$Z67)*($L$11:$Z$11)*($L$12:$Z$12=AC$12))</f>
        <v>0</v>
      </c>
      <c r="AD67" s="1373">
        <f t="array" ref="AD67">SUM(($L67:$Z67)*($L$11:$Z$11)*($L$12:$Z$12=AD$12))</f>
        <v>0</v>
      </c>
      <c r="AE67" s="1374" t="e">
        <f t="shared" si="12"/>
        <v>#DIV/0!</v>
      </c>
      <c r="AF67" s="399" t="e">
        <f t="shared" si="13"/>
        <v>#DIV/0!</v>
      </c>
      <c r="AG67" s="399" t="e">
        <f t="shared" si="14"/>
        <v>#DIV/0!</v>
      </c>
      <c r="AH67" s="1308" t="e">
        <f t="shared" si="7"/>
        <v>#DIV/0!</v>
      </c>
      <c r="AI67" s="1374">
        <f t="array" ref="AI67">IF(SUM(($L67:$Z67)*($L$11:$Z$11)*($L$12:$Z$12=AI$12))&gt;0,100,0)</f>
        <v>0</v>
      </c>
      <c r="AJ67" s="399">
        <f t="array" ref="AJ67">IF(SUM(($L67:$Z67)*($L$11:$Z$11)*($L$12:$Z$12=AJ$12))&gt;0,100,0)</f>
        <v>0</v>
      </c>
      <c r="AK67" s="399">
        <f t="array" ref="AK67">IF(SUM(($L67:$Z67)*($L$11:$Z$11)*($L$12:$Z$12=AK$12))&gt;0,100,0)</f>
        <v>0</v>
      </c>
      <c r="AL67" s="1308">
        <f t="array" ref="AL67">IF(SUM(($L67:$Z67)*($L$11:$Z$11)*($L$12:$Z$12=AL$12))&gt;0,100,0)</f>
        <v>0</v>
      </c>
      <c r="AM67" s="1374" t="str">
        <f t="array" ref="AM67">IF(G67&lt;&gt;0,SUM(($L67:$Z67)*($L$12:$Z$12=AM$12))/G67*100,нет)</f>
        <v>нет</v>
      </c>
      <c r="AN67" s="399" t="str">
        <f t="array" ref="AN67">IF(H67&lt;&gt;0,SUM(($L67:$Z67)*($L$12:$Z$12=AN$12))/H67*100,нет)</f>
        <v>нет</v>
      </c>
      <c r="AO67" s="399" t="str">
        <f t="array" ref="AO67">IF(SUM($I67:$J67)&lt;&gt;0,SUM(($L67:$Z67)*($L$12:$Z$12=AO$12))/SUM($I67:$J67)*100,нет)</f>
        <v>нет</v>
      </c>
      <c r="AP67" s="1308" t="str">
        <f t="array" ref="AP67">IF(K67&lt;&gt;0,SUM(($L67:$Z67)*($L$12:$Z$12=AP$12))/K67*100,нет)</f>
        <v>нет</v>
      </c>
      <c r="AQ67" s="1372">
        <f t="array" ref="AQ67">SUM(($L67:$Z67)*($L$12:$Z$12=AQ$12))</f>
        <v>0</v>
      </c>
      <c r="AR67" s="742">
        <f t="array" ref="AR67">SUM(($L67:$Z67)*($L$12:$Z$12=AR$12))</f>
        <v>0</v>
      </c>
      <c r="AS67" s="742">
        <f t="array" ref="AS67">SUM(($L67:$Z67)*($L$12:$Z$12=AS$12))</f>
        <v>0</v>
      </c>
      <c r="AT67" s="1373">
        <f t="array" ref="AT67">SUM(($L67:$Z67)*($L$12:$Z$12=AT$12))</f>
        <v>0</v>
      </c>
      <c r="AU67" s="376"/>
      <c r="AV67" s="376"/>
      <c r="AW67" s="376"/>
      <c r="AX67" s="182"/>
      <c r="AY67" s="262"/>
      <c r="AZ67" s="372"/>
      <c r="BA67" s="372"/>
    </row>
    <row r="68" spans="1:64" ht="15" thickBot="1" x14ac:dyDescent="0.25">
      <c r="A68" s="1172" t="str">
        <f>IF(LEN(КАФЕДРА!A68)&gt;2,КАФЕДРА!A68,"")</f>
        <v>Физики и информатики</v>
      </c>
      <c r="B68" s="1174" t="str">
        <f>IF(LEN(КАФЕДРА!B68)&gt;2,КАФЕДРА!B68,"")</f>
        <v>Заведующий кафедрой</v>
      </c>
      <c r="C68" s="1193">
        <f>IF(LEN(КАФЕДРА!$A68)&gt;2,КАФЕДРА!C68,0)</f>
        <v>0</v>
      </c>
      <c r="D68" s="1367" t="str">
        <f t="shared" si="15"/>
        <v>нет</v>
      </c>
      <c r="E68" s="1375">
        <f>IF($C68=0,0,$F68/$C68)</f>
        <v>0</v>
      </c>
      <c r="F68" s="1200">
        <f t="array" ref="F68">SUM(($L68:$Z68)*($L$11:$Z$11))</f>
        <v>0</v>
      </c>
      <c r="G68" s="1871"/>
      <c r="H68" s="1895"/>
      <c r="I68" s="1867"/>
      <c r="J68" s="1396"/>
      <c r="K68" s="1376"/>
      <c r="L68" s="1880"/>
      <c r="M68" s="1879"/>
      <c r="N68" s="1881"/>
      <c r="O68" s="1377"/>
      <c r="P68" s="1400"/>
      <c r="Q68" s="1396"/>
      <c r="R68" s="1396"/>
      <c r="S68" s="1887"/>
      <c r="T68" s="1378"/>
      <c r="U68" s="1379"/>
      <c r="V68" s="1379"/>
      <c r="W68" s="1379"/>
      <c r="X68" s="1379"/>
      <c r="Y68" s="1379"/>
      <c r="Z68" s="1376"/>
      <c r="AA68" s="1380">
        <f t="array" ref="AA68">SUM(($L68:$Z68)*($L$11:$Z$11)*($L$12:$Z$12=AA$12))</f>
        <v>0</v>
      </c>
      <c r="AB68" s="1381">
        <f t="array" ref="AB68">SUM(($L68:$Z68)*($L$11:$Z$11)*($L$12:$Z$12=AB$12))</f>
        <v>0</v>
      </c>
      <c r="AC68" s="1381">
        <f t="array" ref="AC68">SUM(($L68:$Z68)*($L$11:$Z$11)*($L$12:$Z$12=AC$12))</f>
        <v>0</v>
      </c>
      <c r="AD68" s="1382">
        <f t="array" ref="AD68">SUM(($L68:$Z68)*($L$11:$Z$11)*($L$12:$Z$12=AD$12))</f>
        <v>0</v>
      </c>
      <c r="AE68" s="1383" t="e">
        <f t="shared" si="12"/>
        <v>#DIV/0!</v>
      </c>
      <c r="AF68" s="1200" t="e">
        <f t="shared" si="13"/>
        <v>#DIV/0!</v>
      </c>
      <c r="AG68" s="1200" t="e">
        <f t="shared" si="14"/>
        <v>#DIV/0!</v>
      </c>
      <c r="AH68" s="1384" t="e">
        <f t="shared" si="7"/>
        <v>#DIV/0!</v>
      </c>
      <c r="AI68" s="1383">
        <f t="array" ref="AI68">IF(SUM(($L68:$Z68)*($L$11:$Z$11)*($L$12:$Z$12=AI$12))&gt;0,100,0)</f>
        <v>0</v>
      </c>
      <c r="AJ68" s="1200">
        <f t="array" ref="AJ68">IF(SUM(($L68:$Z68)*($L$11:$Z$11)*($L$12:$Z$12=AJ$12))&gt;0,100,0)</f>
        <v>0</v>
      </c>
      <c r="AK68" s="1200">
        <f t="array" ref="AK68">IF(SUM(($L68:$Z68)*($L$11:$Z$11)*($L$12:$Z$12=AK$12))&gt;0,100,0)</f>
        <v>0</v>
      </c>
      <c r="AL68" s="1384">
        <f t="array" ref="AL68">IF(SUM(($L68:$Z68)*($L$11:$Z$11)*($L$12:$Z$12=AL$12))&gt;0,100,0)</f>
        <v>0</v>
      </c>
      <c r="AM68" s="1383" t="str">
        <f t="array" ref="AM68">IF(G68&lt;&gt;0,SUM(($L68:$Z68)*($L$12:$Z$12=AM$12))/G68*100,нет)</f>
        <v>нет</v>
      </c>
      <c r="AN68" s="1200" t="str">
        <f t="array" ref="AN68">IF(H68&lt;&gt;0,SUM(($L68:$Z68)*($L$12:$Z$12=AN$12))/H68*100,нет)</f>
        <v>нет</v>
      </c>
      <c r="AO68" s="1200" t="str">
        <f t="array" ref="AO68">IF(SUM($I68:$J68)&lt;&gt;0,SUM(($L68:$Z68)*($L$12:$Z$12=AO$12))/SUM($I68:$J68)*100,нет)</f>
        <v>нет</v>
      </c>
      <c r="AP68" s="1384" t="str">
        <f t="array" ref="AP68">IF(K68&lt;&gt;0,SUM(($L68:$Z68)*($L$12:$Z$12=AP$12))/K68*100,нет)</f>
        <v>нет</v>
      </c>
      <c r="AQ68" s="1380">
        <f t="array" ref="AQ68">SUM(($L68:$Z68)*($L$12:$Z$12=AQ$12))</f>
        <v>0</v>
      </c>
      <c r="AR68" s="1381">
        <f t="array" ref="AR68">SUM(($L68:$Z68)*($L$12:$Z$12=AR$12))</f>
        <v>0</v>
      </c>
      <c r="AS68" s="1381">
        <f t="array" ref="AS68">SUM(($L68:$Z68)*($L$12:$Z$12=AS$12))</f>
        <v>0</v>
      </c>
      <c r="AT68" s="1382">
        <f t="array" ref="AT68">SUM(($L68:$Z68)*($L$12:$Z$12=AT$12))</f>
        <v>0</v>
      </c>
      <c r="AU68" s="376"/>
      <c r="AV68" s="376"/>
      <c r="AW68" s="376"/>
      <c r="AY68" s="262"/>
      <c r="AZ68" s="1128"/>
      <c r="BA68" s="1128"/>
    </row>
    <row r="69" spans="1:64" s="371" customFormat="1" x14ac:dyDescent="0.2">
      <c r="A69" s="582" t="str">
        <f>IF(LEN(КАФЕДРА!A69)&gt;2,КАФЕДРА!A69,"")</f>
        <v>Клинической психологии</v>
      </c>
      <c r="B69" s="370" t="str">
        <f>IF(LEN(КАФЕДРА!B69)&gt;2,КАФЕДРА!B69,"")</f>
        <v>Заведующий кафедрой</v>
      </c>
      <c r="C69" s="1194">
        <f>IF(LEN(КАФЕДРА!$A69)&gt;2,КАФЕДРА!C69,0)</f>
        <v>0</v>
      </c>
      <c r="D69" s="1367" t="str">
        <f t="shared" si="15"/>
        <v>нет</v>
      </c>
      <c r="E69" s="719">
        <f t="shared" ref="E69:E70" si="17">IF($C69=0,0,$F69/$C69)</f>
        <v>0</v>
      </c>
      <c r="F69" s="399">
        <f t="array" ref="F69">SUM(($L69:$Z69)*($L$11:$Z$11))</f>
        <v>0</v>
      </c>
      <c r="G69" s="1869"/>
      <c r="H69" s="1892"/>
      <c r="I69" s="1865"/>
      <c r="J69" s="1395"/>
      <c r="K69" s="1361"/>
      <c r="L69" s="1874"/>
      <c r="M69" s="1873"/>
      <c r="N69" s="1875"/>
      <c r="O69" s="1893"/>
      <c r="P69" s="1398"/>
      <c r="Q69" s="1395"/>
      <c r="R69" s="1395"/>
      <c r="S69" s="1885"/>
      <c r="T69" s="1362"/>
      <c r="U69" s="1363"/>
      <c r="V69" s="1363"/>
      <c r="W69" s="1363"/>
      <c r="X69" s="1363"/>
      <c r="Y69" s="1363"/>
      <c r="Z69" s="1361"/>
      <c r="AA69" s="1364">
        <f t="array" ref="AA69">SUM(($L69:$Z69)*($L$11:$Z$11)*($L$12:$Z$12=AA$12))</f>
        <v>0</v>
      </c>
      <c r="AB69" s="1287">
        <f t="array" ref="AB69">SUM(($L69:$Z69)*($L$11:$Z$11)*($L$12:$Z$12=AB$12))</f>
        <v>0</v>
      </c>
      <c r="AC69" s="1287">
        <f t="array" ref="AC69">SUM(($L69:$Z69)*($L$11:$Z$11)*($L$12:$Z$12=AC$12))</f>
        <v>0</v>
      </c>
      <c r="AD69" s="1365">
        <f t="array" ref="AD69">SUM(($L69:$Z69)*($L$11:$Z$11)*($L$12:$Z$12=AD$12))</f>
        <v>0</v>
      </c>
      <c r="AE69" s="1366" t="e">
        <f t="shared" si="12"/>
        <v>#DIV/0!</v>
      </c>
      <c r="AF69" s="1205" t="e">
        <f t="shared" si="13"/>
        <v>#DIV/0!</v>
      </c>
      <c r="AG69" s="1205" t="e">
        <f t="shared" si="14"/>
        <v>#DIV/0!</v>
      </c>
      <c r="AH69" s="1288" t="e">
        <f t="shared" si="7"/>
        <v>#DIV/0!</v>
      </c>
      <c r="AI69" s="1366">
        <f t="array" ref="AI69">IF(SUM(($L69:$Z69)*($L$11:$Z$11)*($L$12:$Z$12=AI$12))&gt;0,100,0)</f>
        <v>0</v>
      </c>
      <c r="AJ69" s="1205">
        <f t="array" ref="AJ69">IF(SUM(($L69:$Z69)*($L$11:$Z$11)*($L$12:$Z$12=AJ$12))&gt;0,100,0)</f>
        <v>0</v>
      </c>
      <c r="AK69" s="1205">
        <f t="array" ref="AK69">IF(SUM(($L69:$Z69)*($L$11:$Z$11)*($L$12:$Z$12=AK$12))&gt;0,100,0)</f>
        <v>0</v>
      </c>
      <c r="AL69" s="1288">
        <f t="array" ref="AL69">IF(SUM(($L69:$Z69)*($L$11:$Z$11)*($L$12:$Z$12=AL$12))&gt;0,100,0)</f>
        <v>0</v>
      </c>
      <c r="AM69" s="1366" t="str">
        <f t="array" ref="AM69">IF(G69&lt;&gt;0,SUM(($L69:$Z69)*($L$12:$Z$12=AM$12))/G69*100,нет)</f>
        <v>нет</v>
      </c>
      <c r="AN69" s="1205" t="str">
        <f t="array" ref="AN69">IF(H69&lt;&gt;0,SUM(($L69:$Z69)*($L$12:$Z$12=AN$12))/H69*100,нет)</f>
        <v>нет</v>
      </c>
      <c r="AO69" s="1205" t="str">
        <f t="array" ref="AO69">IF(SUM($I69:$J69)&lt;&gt;0,SUM(($L69:$Z69)*($L$12:$Z$12=AO$12))/SUM($I69:$J69)*100,нет)</f>
        <v>нет</v>
      </c>
      <c r="AP69" s="1288" t="str">
        <f t="array" ref="AP69">IF(K69&lt;&gt;0,SUM(($L69:$Z69)*($L$12:$Z$12=AP$12))/K69*100,нет)</f>
        <v>нет</v>
      </c>
      <c r="AQ69" s="1364">
        <f t="array" ref="AQ69">SUM(($L69:$Z69)*($L$12:$Z$12=AQ$12))</f>
        <v>0</v>
      </c>
      <c r="AR69" s="1287">
        <f t="array" ref="AR69">SUM(($L69:$Z69)*($L$12:$Z$12=AR$12))</f>
        <v>0</v>
      </c>
      <c r="AS69" s="1287">
        <f t="array" ref="AS69">SUM(($L69:$Z69)*($L$12:$Z$12=AS$12))</f>
        <v>0</v>
      </c>
      <c r="AT69" s="1365">
        <f t="array" ref="AT69">SUM(($L69:$Z69)*($L$12:$Z$12=AT$12))</f>
        <v>0</v>
      </c>
      <c r="AU69" s="1126"/>
      <c r="AV69" s="1126"/>
      <c r="AW69" s="1126"/>
      <c r="AY69" s="1127"/>
    </row>
    <row r="70" spans="1:64" s="372" customFormat="1" x14ac:dyDescent="0.2">
      <c r="A70" s="551" t="str">
        <f>IF(LEN(КАФЕДРА!A70)&gt;2,КАФЕДРА!A70,"")</f>
        <v>Медицинской реабилитологии с курсом ДПО</v>
      </c>
      <c r="B70" s="960" t="str">
        <f>IF(LEN(КАФЕДРА!B70)&gt;2,КАФЕДРА!B70,"")</f>
        <v>Заведующий кафедрой</v>
      </c>
      <c r="C70" s="800">
        <f>IF(LEN(КАФЕДРА!$A70)&gt;2,КАФЕДРА!C70,0)</f>
        <v>0</v>
      </c>
      <c r="D70" s="1367" t="str">
        <f t="shared" si="15"/>
        <v>нет</v>
      </c>
      <c r="E70" s="719">
        <f t="shared" si="17"/>
        <v>0</v>
      </c>
      <c r="F70" s="399">
        <f t="array" ref="F70">SUM(($L70:$Z70)*($L$11:$Z$11))</f>
        <v>0</v>
      </c>
      <c r="G70" s="1870"/>
      <c r="H70" s="1894"/>
      <c r="I70" s="1866"/>
      <c r="J70" s="1394"/>
      <c r="K70" s="1368"/>
      <c r="L70" s="1877"/>
      <c r="M70" s="1876"/>
      <c r="N70" s="1878"/>
      <c r="O70" s="1369"/>
      <c r="P70" s="1399"/>
      <c r="Q70" s="1394"/>
      <c r="R70" s="1394"/>
      <c r="S70" s="1886"/>
      <c r="T70" s="1370"/>
      <c r="U70" s="1371"/>
      <c r="V70" s="1371"/>
      <c r="W70" s="1371"/>
      <c r="X70" s="1371"/>
      <c r="Y70" s="1371"/>
      <c r="Z70" s="1368"/>
      <c r="AA70" s="1372">
        <f t="array" ref="AA70">SUM(($L70:$Z70)*($L$11:$Z$11)*($L$12:$Z$12=AA$12))</f>
        <v>0</v>
      </c>
      <c r="AB70" s="742">
        <f t="array" ref="AB70">SUM(($L70:$Z70)*($L$11:$Z$11)*($L$12:$Z$12=AB$12))</f>
        <v>0</v>
      </c>
      <c r="AC70" s="742">
        <f t="array" ref="AC70">SUM(($L70:$Z70)*($L$11:$Z$11)*($L$12:$Z$12=AC$12))</f>
        <v>0</v>
      </c>
      <c r="AD70" s="1373">
        <f t="array" ref="AD70">SUM(($L70:$Z70)*($L$11:$Z$11)*($L$12:$Z$12=AD$12))</f>
        <v>0</v>
      </c>
      <c r="AE70" s="1374" t="e">
        <f t="shared" si="12"/>
        <v>#DIV/0!</v>
      </c>
      <c r="AF70" s="399" t="e">
        <f t="shared" si="13"/>
        <v>#DIV/0!</v>
      </c>
      <c r="AG70" s="399" t="e">
        <f t="shared" si="14"/>
        <v>#DIV/0!</v>
      </c>
      <c r="AH70" s="1308" t="e">
        <f t="shared" si="7"/>
        <v>#DIV/0!</v>
      </c>
      <c r="AI70" s="1374">
        <f t="array" ref="AI70">IF(SUM(($L70:$Z70)*($L$11:$Z$11)*($L$12:$Z$12=AI$12))&gt;0,100,0)</f>
        <v>0</v>
      </c>
      <c r="AJ70" s="399">
        <f t="array" ref="AJ70">IF(SUM(($L70:$Z70)*($L$11:$Z$11)*($L$12:$Z$12=AJ$12))&gt;0,100,0)</f>
        <v>0</v>
      </c>
      <c r="AK70" s="399">
        <f t="array" ref="AK70">IF(SUM(($L70:$Z70)*($L$11:$Z$11)*($L$12:$Z$12=AK$12))&gt;0,100,0)</f>
        <v>0</v>
      </c>
      <c r="AL70" s="1308">
        <f t="array" ref="AL70">IF(SUM(($L70:$Z70)*($L$11:$Z$11)*($L$12:$Z$12=AL$12))&gt;0,100,0)</f>
        <v>0</v>
      </c>
      <c r="AM70" s="1374" t="str">
        <f t="array" ref="AM70">IF(G70&lt;&gt;0,SUM(($L70:$Z70)*($L$12:$Z$12=AM$12))/G70*100,нет)</f>
        <v>нет</v>
      </c>
      <c r="AN70" s="399" t="str">
        <f t="array" ref="AN70">IF(H70&lt;&gt;0,SUM(($L70:$Z70)*($L$12:$Z$12=AN$12))/H70*100,нет)</f>
        <v>нет</v>
      </c>
      <c r="AO70" s="399" t="str">
        <f t="array" ref="AO70">IF(SUM($I70:$J70)&lt;&gt;0,SUM(($L70:$Z70)*($L$12:$Z$12=AO$12))/SUM($I70:$J70)*100,нет)</f>
        <v>нет</v>
      </c>
      <c r="AP70" s="1308" t="str">
        <f t="array" ref="AP70">IF(K70&lt;&gt;0,SUM(($L70:$Z70)*($L$12:$Z$12=AP$12))/K70*100,нет)</f>
        <v>нет</v>
      </c>
      <c r="AQ70" s="1372">
        <f t="array" ref="AQ70">SUM(($L70:$Z70)*($L$12:$Z$12=AQ$12))</f>
        <v>0</v>
      </c>
      <c r="AR70" s="742">
        <f t="array" ref="AR70">SUM(($L70:$Z70)*($L$12:$Z$12=AR$12))</f>
        <v>0</v>
      </c>
      <c r="AS70" s="742">
        <f t="array" ref="AS70">SUM(($L70:$Z70)*($L$12:$Z$12=AS$12))</f>
        <v>0</v>
      </c>
      <c r="AT70" s="1373">
        <f t="array" ref="AT70">SUM(($L70:$Z70)*($L$12:$Z$12=AT$12))</f>
        <v>0</v>
      </c>
      <c r="AU70" s="376"/>
      <c r="AV70" s="376"/>
      <c r="AW70" s="376"/>
      <c r="AX70" s="182"/>
      <c r="AY70" s="262"/>
    </row>
    <row r="71" spans="1:64" x14ac:dyDescent="0.2">
      <c r="A71" s="551" t="str">
        <f>IF(LEN(КАФЕДРА!A71)&gt;2,КАФЕДРА!A71,"")</f>
        <v>Психиатрии, медицинской психологии и наркологии с курсом ДПО</v>
      </c>
      <c r="B71" s="960" t="str">
        <f>IF(LEN(КАФЕДРА!B71)&gt;2,КАФЕДРА!B71,"")</f>
        <v>Заведующий кафедрой</v>
      </c>
      <c r="C71" s="800">
        <f>IF(LEN(КАФЕДРА!$A71)&gt;2,КАФЕДРА!C71,0)</f>
        <v>0</v>
      </c>
      <c r="D71" s="1367" t="str">
        <f t="shared" si="15"/>
        <v>нет</v>
      </c>
      <c r="E71" s="719">
        <f>IF($C71=0,0,$F71/$C71)</f>
        <v>0</v>
      </c>
      <c r="F71" s="399">
        <f t="array" ref="F71">SUM(($L71:$Z71)*($L$11:$Z$11))</f>
        <v>0</v>
      </c>
      <c r="G71" s="1870"/>
      <c r="H71" s="1894"/>
      <c r="I71" s="1866"/>
      <c r="J71" s="1394"/>
      <c r="K71" s="1368"/>
      <c r="L71" s="1877"/>
      <c r="M71" s="1876"/>
      <c r="N71" s="1878"/>
      <c r="O71" s="1369"/>
      <c r="P71" s="1399"/>
      <c r="Q71" s="1394"/>
      <c r="R71" s="1394"/>
      <c r="S71" s="1886"/>
      <c r="T71" s="1370"/>
      <c r="U71" s="1371"/>
      <c r="V71" s="1371"/>
      <c r="W71" s="1371"/>
      <c r="X71" s="1371"/>
      <c r="Y71" s="1371"/>
      <c r="Z71" s="1368"/>
      <c r="AA71" s="1372">
        <f t="array" ref="AA71">SUM(($L71:$Z71)*($L$11:$Z$11)*($L$12:$Z$12=AA$12))</f>
        <v>0</v>
      </c>
      <c r="AB71" s="742">
        <f t="array" ref="AB71">SUM(($L71:$Z71)*($L$11:$Z$11)*($L$12:$Z$12=AB$12))</f>
        <v>0</v>
      </c>
      <c r="AC71" s="742">
        <f t="array" ref="AC71">SUM(($L71:$Z71)*($L$11:$Z$11)*($L$12:$Z$12=AC$12))</f>
        <v>0</v>
      </c>
      <c r="AD71" s="1373">
        <f t="array" ref="AD71">SUM(($L71:$Z71)*($L$11:$Z$11)*($L$12:$Z$12=AD$12))</f>
        <v>0</v>
      </c>
      <c r="AE71" s="1374" t="e">
        <f t="shared" si="12"/>
        <v>#DIV/0!</v>
      </c>
      <c r="AF71" s="399" t="e">
        <f t="shared" si="13"/>
        <v>#DIV/0!</v>
      </c>
      <c r="AG71" s="399" t="e">
        <f t="shared" si="14"/>
        <v>#DIV/0!</v>
      </c>
      <c r="AH71" s="1308" t="e">
        <f t="shared" si="7"/>
        <v>#DIV/0!</v>
      </c>
      <c r="AI71" s="1374">
        <f t="array" ref="AI71">IF(SUM(($L71:$Z71)*($L$11:$Z$11)*($L$12:$Z$12=AI$12))&gt;0,100,0)</f>
        <v>0</v>
      </c>
      <c r="AJ71" s="399">
        <f t="array" ref="AJ71">IF(SUM(($L71:$Z71)*($L$11:$Z$11)*($L$12:$Z$12=AJ$12))&gt;0,100,0)</f>
        <v>0</v>
      </c>
      <c r="AK71" s="399">
        <f t="array" ref="AK71">IF(SUM(($L71:$Z71)*($L$11:$Z$11)*($L$12:$Z$12=AK$12))&gt;0,100,0)</f>
        <v>0</v>
      </c>
      <c r="AL71" s="1308">
        <f t="array" ref="AL71">IF(SUM(($L71:$Z71)*($L$11:$Z$11)*($L$12:$Z$12=AL$12))&gt;0,100,0)</f>
        <v>0</v>
      </c>
      <c r="AM71" s="1374" t="str">
        <f t="array" ref="AM71">IF(G71&lt;&gt;0,SUM(($L71:$Z71)*($L$12:$Z$12=AM$12))/G71*100,нет)</f>
        <v>нет</v>
      </c>
      <c r="AN71" s="399" t="str">
        <f t="array" ref="AN71">IF(H71&lt;&gt;0,SUM(($L71:$Z71)*($L$12:$Z$12=AN$12))/H71*100,нет)</f>
        <v>нет</v>
      </c>
      <c r="AO71" s="399" t="str">
        <f t="array" ref="AO71">IF(SUM($I71:$J71)&lt;&gt;0,SUM(($L71:$Z71)*($L$12:$Z$12=AO$12))/SUM($I71:$J71)*100,нет)</f>
        <v>нет</v>
      </c>
      <c r="AP71" s="1308" t="str">
        <f t="array" ref="AP71">IF(K71&lt;&gt;0,SUM(($L71:$Z71)*($L$12:$Z$12=AP$12))/K71*100,нет)</f>
        <v>нет</v>
      </c>
      <c r="AQ71" s="1372">
        <f t="array" ref="AQ71">SUM(($L71:$Z71)*($L$12:$Z$12=AQ$12))</f>
        <v>0</v>
      </c>
      <c r="AR71" s="742">
        <f t="array" ref="AR71">SUM(($L71:$Z71)*($L$12:$Z$12=AR$12))</f>
        <v>0</v>
      </c>
      <c r="AS71" s="742">
        <f t="array" ref="AS71">SUM(($L71:$Z71)*($L$12:$Z$12=AS$12))</f>
        <v>0</v>
      </c>
      <c r="AT71" s="1373">
        <f t="array" ref="AT71">SUM(($L71:$Z71)*($L$12:$Z$12=AT$12))</f>
        <v>0</v>
      </c>
      <c r="AU71" s="376"/>
      <c r="AV71" s="376"/>
      <c r="AW71" s="376"/>
      <c r="AY71" s="262"/>
    </row>
    <row r="72" spans="1:64" s="372" customFormat="1" x14ac:dyDescent="0.2">
      <c r="A72" s="551" t="str">
        <f>IF(LEN(КАФЕДРА!A72)&gt;2,КАФЕДРА!A72,"")</f>
        <v>Философии</v>
      </c>
      <c r="B72" s="960" t="str">
        <f>IF(LEN(КАФЕДРА!B72)&gt;2,КАФЕДРА!B72,"")</f>
        <v>Заведующий кафедрой</v>
      </c>
      <c r="C72" s="800">
        <f>IF(LEN(КАФЕДРА!$A72)&gt;2,КАФЕДРА!C72,0)</f>
        <v>0</v>
      </c>
      <c r="D72" s="1367" t="str">
        <f t="shared" si="15"/>
        <v>нет</v>
      </c>
      <c r="E72" s="719">
        <f>IF($C72=0,0,$F72/$C72)</f>
        <v>0</v>
      </c>
      <c r="F72" s="399">
        <f t="array" ref="F72">SUM(($L72:$Z72)*($L$11:$Z$11))</f>
        <v>0</v>
      </c>
      <c r="G72" s="1870"/>
      <c r="H72" s="1894"/>
      <c r="I72" s="1866"/>
      <c r="J72" s="1394"/>
      <c r="K72" s="1368"/>
      <c r="L72" s="1877"/>
      <c r="M72" s="1876"/>
      <c r="N72" s="1878"/>
      <c r="O72" s="1369"/>
      <c r="P72" s="1399"/>
      <c r="Q72" s="1394"/>
      <c r="R72" s="1394"/>
      <c r="S72" s="1886"/>
      <c r="T72" s="1370"/>
      <c r="U72" s="1371"/>
      <c r="V72" s="1371"/>
      <c r="W72" s="1371"/>
      <c r="X72" s="1371"/>
      <c r="Y72" s="1371"/>
      <c r="Z72" s="1368"/>
      <c r="AA72" s="1372">
        <f t="array" ref="AA72">SUM(($L72:$Z72)*($L$11:$Z$11)*($L$12:$Z$12=AA$12))</f>
        <v>0</v>
      </c>
      <c r="AB72" s="742">
        <f t="array" ref="AB72">SUM(($L72:$Z72)*($L$11:$Z$11)*($L$12:$Z$12=AB$12))</f>
        <v>0</v>
      </c>
      <c r="AC72" s="742">
        <f t="array" ref="AC72">SUM(($L72:$Z72)*($L$11:$Z$11)*($L$12:$Z$12=AC$12))</f>
        <v>0</v>
      </c>
      <c r="AD72" s="1373">
        <f t="array" ref="AD72">SUM(($L72:$Z72)*($L$11:$Z$11)*($L$12:$Z$12=AD$12))</f>
        <v>0</v>
      </c>
      <c r="AE72" s="1374" t="e">
        <f t="shared" si="12"/>
        <v>#DIV/0!</v>
      </c>
      <c r="AF72" s="399" t="e">
        <f t="shared" si="13"/>
        <v>#DIV/0!</v>
      </c>
      <c r="AG72" s="399" t="e">
        <f t="shared" si="14"/>
        <v>#DIV/0!</v>
      </c>
      <c r="AH72" s="1308" t="e">
        <f>AD72/$C72</f>
        <v>#DIV/0!</v>
      </c>
      <c r="AI72" s="1374">
        <f t="array" ref="AI72">IF(SUM(($L72:$Z72)*($L$11:$Z$11)*($L$12:$Z$12=AI$12))&gt;0,100,0)</f>
        <v>0</v>
      </c>
      <c r="AJ72" s="399">
        <f t="array" ref="AJ72">IF(SUM(($L72:$Z72)*($L$11:$Z$11)*($L$12:$Z$12=AJ$12))&gt;0,100,0)</f>
        <v>0</v>
      </c>
      <c r="AK72" s="399">
        <f t="array" ref="AK72">IF(SUM(($L72:$Z72)*($L$11:$Z$11)*($L$12:$Z$12=AK$12))&gt;0,100,0)</f>
        <v>0</v>
      </c>
      <c r="AL72" s="1308">
        <f t="array" ref="AL72">IF(SUM(($L72:$Z72)*($L$11:$Z$11)*($L$12:$Z$12=AL$12))&gt;0,100,0)</f>
        <v>0</v>
      </c>
      <c r="AM72" s="1374" t="str">
        <f t="array" ref="AM72">IF(G72&lt;&gt;0,SUM(($L72:$Z72)*($L$12:$Z$12=AM$12))/G72*100,нет)</f>
        <v>нет</v>
      </c>
      <c r="AN72" s="399" t="str">
        <f t="array" ref="AN72">IF(H72&lt;&gt;0,SUM(($L72:$Z72)*($L$12:$Z$12=AN$12))/H72*100,нет)</f>
        <v>нет</v>
      </c>
      <c r="AO72" s="399" t="str">
        <f t="array" ref="AO72">IF(SUM($I72:$J72)&lt;&gt;0,SUM(($L72:$Z72)*($L$12:$Z$12=AO$12))/SUM($I72:$J72)*100,нет)</f>
        <v>нет</v>
      </c>
      <c r="AP72" s="1308" t="str">
        <f t="array" ref="AP72">IF(K72&lt;&gt;0,SUM(($L72:$Z72)*($L$12:$Z$12=AP$12))/K72*100,нет)</f>
        <v>нет</v>
      </c>
      <c r="AQ72" s="1372">
        <f t="array" ref="AQ72">SUM(($L72:$Z72)*($L$12:$Z$12=AQ$12))</f>
        <v>0</v>
      </c>
      <c r="AR72" s="742">
        <f t="array" ref="AR72">SUM(($L72:$Z72)*($L$12:$Z$12=AR$12))</f>
        <v>0</v>
      </c>
      <c r="AS72" s="742">
        <f t="array" ref="AS72">SUM(($L72:$Z72)*($L$12:$Z$12=AS$12))</f>
        <v>0</v>
      </c>
      <c r="AT72" s="1373">
        <f t="array" ref="AT72">SUM(($L72:$Z72)*($L$12:$Z$12=AT$12))</f>
        <v>0</v>
      </c>
      <c r="AU72" s="376"/>
      <c r="AV72" s="376"/>
      <c r="AW72" s="376"/>
      <c r="AX72" s="182"/>
      <c r="AY72" s="262"/>
    </row>
    <row r="73" spans="1:64" s="372" customFormat="1" ht="15" thickBot="1" x14ac:dyDescent="0.25">
      <c r="A73" s="1172" t="str">
        <f>IF(LEN(КАФЕДРА!A73)&gt;2,КАФЕДРА!A73,"")</f>
        <v>Истории</v>
      </c>
      <c r="B73" s="1174" t="str">
        <f>IF(LEN(КАФЕДРА!B73)&gt;2,КАФЕДРА!B73,"")</f>
        <v>Заведующий кафедрой</v>
      </c>
      <c r="C73" s="1195">
        <f>IF(LEN(КАФЕДРА!$A73)&gt;2,КАФЕДРА!C73,0)</f>
        <v>0</v>
      </c>
      <c r="D73" s="1367" t="str">
        <f t="shared" si="15"/>
        <v>нет</v>
      </c>
      <c r="E73" s="719">
        <f>IF($C73=0,0,$F73/$C73)</f>
        <v>0</v>
      </c>
      <c r="F73" s="399">
        <f t="array" ref="F73">SUM(($L73:$Z73)*($L$11:$Z$11))</f>
        <v>0</v>
      </c>
      <c r="G73" s="1871"/>
      <c r="H73" s="1895"/>
      <c r="I73" s="1867"/>
      <c r="J73" s="1396"/>
      <c r="K73" s="1376"/>
      <c r="L73" s="1880"/>
      <c r="M73" s="1879"/>
      <c r="N73" s="1881"/>
      <c r="O73" s="1377"/>
      <c r="P73" s="1400"/>
      <c r="Q73" s="1396"/>
      <c r="R73" s="1396"/>
      <c r="S73" s="1887"/>
      <c r="T73" s="1378"/>
      <c r="U73" s="1379"/>
      <c r="V73" s="1379"/>
      <c r="W73" s="1379"/>
      <c r="X73" s="1379"/>
      <c r="Y73" s="1379"/>
      <c r="Z73" s="1376"/>
      <c r="AA73" s="1380"/>
      <c r="AB73" s="1381"/>
      <c r="AC73" s="1381"/>
      <c r="AD73" s="1382"/>
      <c r="AE73" s="1383"/>
      <c r="AF73" s="1200"/>
      <c r="AG73" s="1200"/>
      <c r="AH73" s="1384"/>
      <c r="AI73" s="1383"/>
      <c r="AJ73" s="1200"/>
      <c r="AK73" s="1200"/>
      <c r="AL73" s="1384"/>
      <c r="AM73" s="1383" t="str">
        <f t="array" ref="AM73">IF(G73&lt;&gt;0,SUM(($L73:$Z73)*($L$12:$Z$12=AM$12))/G73*100,нет)</f>
        <v>нет</v>
      </c>
      <c r="AN73" s="1200" t="str">
        <f t="array" ref="AN73">IF(H73&lt;&gt;0,SUM(($L73:$Z73)*($L$12:$Z$12=AN$12))/H73*100,нет)</f>
        <v>нет</v>
      </c>
      <c r="AO73" s="1200" t="str">
        <f t="array" ref="AO73">IF(SUM($I73:$J73)&lt;&gt;0,SUM(($L73:$Z73)*($L$12:$Z$12=AO$12))/SUM($I73:$J73)*100,нет)</f>
        <v>нет</v>
      </c>
      <c r="AP73" s="1384" t="str">
        <f t="array" ref="AP73">IF(K73&lt;&gt;0,SUM(($L73:$Z73)*($L$12:$Z$12=AP$12))/K73*100,нет)</f>
        <v>нет</v>
      </c>
      <c r="AQ73" s="1380">
        <f t="array" ref="AQ73">SUM(($L73:$Z73)*($L$12:$Z$12=AQ$12))</f>
        <v>0</v>
      </c>
      <c r="AR73" s="1381">
        <f t="array" ref="AR73">SUM(($L73:$Z73)*($L$12:$Z$12=AR$12))</f>
        <v>0</v>
      </c>
      <c r="AS73" s="1381">
        <f t="array" ref="AS73">SUM(($L73:$Z73)*($L$12:$Z$12=AS$12))</f>
        <v>0</v>
      </c>
      <c r="AT73" s="1382">
        <f t="array" ref="AT73">SUM(($L73:$Z73)*($L$12:$Z$12=AT$12))</f>
        <v>0</v>
      </c>
      <c r="AU73" s="376"/>
      <c r="AV73" s="376"/>
      <c r="AW73" s="376"/>
      <c r="AX73" s="767"/>
      <c r="AY73" s="262"/>
    </row>
    <row r="74" spans="1:64" s="371" customFormat="1" x14ac:dyDescent="0.2">
      <c r="A74" s="582" t="str">
        <f>IF(LEN(КАФЕДРА!A74)&gt;2,КАФЕДРА!A74,"")</f>
        <v>Иностранных языков с курсом латинского языка</v>
      </c>
      <c r="B74" s="370" t="str">
        <f>IF(LEN(КАФЕДРА!B74)&gt;2,КАФЕДРА!B74,"")</f>
        <v>Заведующий кафедрой</v>
      </c>
      <c r="C74" s="804">
        <f>IF(LEN(КАФЕДРА!$A74)&gt;2,КАФЕДРА!C74,0)</f>
        <v>0</v>
      </c>
      <c r="D74" s="1367" t="str">
        <f t="shared" si="15"/>
        <v>нет</v>
      </c>
      <c r="E74" s="1360">
        <f t="shared" si="6"/>
        <v>0</v>
      </c>
      <c r="F74" s="1205">
        <f t="array" ref="F74">SUM(($L74:$Z74)*($L$11:$Z$11))</f>
        <v>0</v>
      </c>
      <c r="G74" s="1869"/>
      <c r="H74" s="1892"/>
      <c r="I74" s="1865"/>
      <c r="J74" s="1395"/>
      <c r="K74" s="1361"/>
      <c r="L74" s="1874"/>
      <c r="M74" s="1873"/>
      <c r="N74" s="1875"/>
      <c r="O74" s="1893"/>
      <c r="P74" s="1398"/>
      <c r="Q74" s="1395"/>
      <c r="R74" s="1395"/>
      <c r="S74" s="1885"/>
      <c r="T74" s="1362"/>
      <c r="U74" s="1363"/>
      <c r="V74" s="1363"/>
      <c r="W74" s="1363"/>
      <c r="X74" s="1363"/>
      <c r="Y74" s="1363"/>
      <c r="Z74" s="1361"/>
      <c r="AA74" s="1364">
        <f t="array" ref="AA74">SUM(($L74:$Z74)*($L$11:$Z$11)*($L$12:$Z$12=AA$12))</f>
        <v>0</v>
      </c>
      <c r="AB74" s="1287">
        <f t="array" ref="AB74">SUM(($L74:$Z74)*($L$11:$Z$11)*($L$12:$Z$12=AB$12))</f>
        <v>0</v>
      </c>
      <c r="AC74" s="1287">
        <f t="array" ref="AC74">SUM(($L74:$Z74)*($L$11:$Z$11)*($L$12:$Z$12=AC$12))</f>
        <v>0</v>
      </c>
      <c r="AD74" s="1365">
        <f t="array" ref="AD74">SUM(($L74:$Z74)*($L$11:$Z$11)*($L$12:$Z$12=AD$12))</f>
        <v>0</v>
      </c>
      <c r="AE74" s="1366" t="e">
        <f t="shared" ref="AE74:AG77" si="18">AA74/$C74</f>
        <v>#DIV/0!</v>
      </c>
      <c r="AF74" s="1205" t="e">
        <f t="shared" si="18"/>
        <v>#DIV/0!</v>
      </c>
      <c r="AG74" s="1205" t="e">
        <f t="shared" si="18"/>
        <v>#DIV/0!</v>
      </c>
      <c r="AH74" s="1288" t="e">
        <f t="shared" si="7"/>
        <v>#DIV/0!</v>
      </c>
      <c r="AI74" s="1366">
        <f t="array" ref="AI74">IF(SUM(($L74:$Z74)*($L$11:$Z$11)*($L$12:$Z$12=AI$12))&gt;0,100,0)</f>
        <v>0</v>
      </c>
      <c r="AJ74" s="1205">
        <f t="array" ref="AJ74">IF(SUM(($L74:$Z74)*($L$11:$Z$11)*($L$12:$Z$12=AJ$12))&gt;0,100,0)</f>
        <v>0</v>
      </c>
      <c r="AK74" s="1205">
        <f t="array" ref="AK74">IF(SUM(($L74:$Z74)*($L$11:$Z$11)*($L$12:$Z$12=AK$12))&gt;0,100,0)</f>
        <v>0</v>
      </c>
      <c r="AL74" s="1288">
        <f t="array" ref="AL74">IF(SUM(($L74:$Z74)*($L$11:$Z$11)*($L$12:$Z$12=AL$12))&gt;0,100,0)</f>
        <v>0</v>
      </c>
      <c r="AM74" s="1366" t="str">
        <f t="array" ref="AM74">IF(G74&lt;&gt;0,SUM(($L74:$Z74)*($L$12:$Z$12=AM$12))/G74*100,нет)</f>
        <v>нет</v>
      </c>
      <c r="AN74" s="1205" t="str">
        <f t="array" ref="AN74">IF(H74&lt;&gt;0,SUM(($L74:$Z74)*($L$12:$Z$12=AN$12))/H74*100,нет)</f>
        <v>нет</v>
      </c>
      <c r="AO74" s="1205" t="str">
        <f t="array" ref="AO74">IF(SUM($I74:$J74)&lt;&gt;0,SUM(($L74:$Z74)*($L$12:$Z$12=AO$12))/SUM($I74:$J74)*100,нет)</f>
        <v>нет</v>
      </c>
      <c r="AP74" s="1288" t="str">
        <f t="array" ref="AP74">IF(K74&lt;&gt;0,SUM(($L74:$Z74)*($L$12:$Z$12=AP$12))/K74*100,нет)</f>
        <v>нет</v>
      </c>
      <c r="AQ74" s="1364">
        <f t="array" ref="AQ74">SUM(($L74:$Z74)*($L$12:$Z$12=AQ$12))</f>
        <v>0</v>
      </c>
      <c r="AR74" s="1287">
        <f t="array" ref="AR74">SUM(($L74:$Z74)*($L$12:$Z$12=AR$12))</f>
        <v>0</v>
      </c>
      <c r="AS74" s="1287">
        <f t="array" ref="AS74">SUM(($L74:$Z74)*($L$12:$Z$12=AS$12))</f>
        <v>0</v>
      </c>
      <c r="AT74" s="1365">
        <f t="array" ref="AT74">SUM(($L74:$Z74)*($L$12:$Z$12=AT$12))</f>
        <v>0</v>
      </c>
      <c r="AU74" s="1126"/>
      <c r="AV74" s="1126"/>
      <c r="AW74" s="1126"/>
      <c r="AY74" s="1127"/>
    </row>
    <row r="75" spans="1:64" ht="15" thickBot="1" x14ac:dyDescent="0.25">
      <c r="A75" s="1172" t="str">
        <f>IF(LEN(КАФЕДРА!A75)&gt;2,КАФЕДРА!A75,"")</f>
        <v>Русского языка как иностранного</v>
      </c>
      <c r="B75" s="1174" t="str">
        <f>IF(LEN(КАФЕДРА!B75)&gt;2,КАФЕДРА!B75,"")</f>
        <v>Заведующий кафедрой</v>
      </c>
      <c r="C75" s="975">
        <f>IF(LEN(КАФЕДРА!$A75)&gt;2,КАФЕДРА!C75,0)</f>
        <v>0</v>
      </c>
      <c r="D75" s="1367" t="str">
        <f t="shared" si="15"/>
        <v>нет</v>
      </c>
      <c r="E75" s="1375">
        <f t="shared" si="6"/>
        <v>0</v>
      </c>
      <c r="F75" s="1200">
        <f t="array" ref="F75">SUM(($L75:$Z75)*($L$11:$Z$11))</f>
        <v>0</v>
      </c>
      <c r="G75" s="1871"/>
      <c r="H75" s="1895"/>
      <c r="I75" s="1867"/>
      <c r="J75" s="1396"/>
      <c r="K75" s="1376"/>
      <c r="L75" s="1880"/>
      <c r="M75" s="1879"/>
      <c r="N75" s="1881"/>
      <c r="O75" s="1377"/>
      <c r="P75" s="1400"/>
      <c r="Q75" s="1396"/>
      <c r="R75" s="1396"/>
      <c r="S75" s="1887"/>
      <c r="T75" s="1378"/>
      <c r="U75" s="1379"/>
      <c r="V75" s="1379"/>
      <c r="W75" s="1379"/>
      <c r="X75" s="1379"/>
      <c r="Y75" s="1379"/>
      <c r="Z75" s="1376"/>
      <c r="AA75" s="1380">
        <f t="array" ref="AA75">SUM(($L75:$Z75)*($L$11:$Z$11)*($L$12:$Z$12=AA$12))</f>
        <v>0</v>
      </c>
      <c r="AB75" s="1381">
        <f t="array" ref="AB75">SUM(($L75:$Z75)*($L$11:$Z$11)*($L$12:$Z$12=AB$12))</f>
        <v>0</v>
      </c>
      <c r="AC75" s="1381">
        <f t="array" ref="AC75">SUM(($L75:$Z75)*($L$11:$Z$11)*($L$12:$Z$12=AC$12))</f>
        <v>0</v>
      </c>
      <c r="AD75" s="1382">
        <f t="array" ref="AD75">SUM(($L75:$Z75)*($L$11:$Z$11)*($L$12:$Z$12=AD$12))</f>
        <v>0</v>
      </c>
      <c r="AE75" s="1383" t="e">
        <f t="shared" si="18"/>
        <v>#DIV/0!</v>
      </c>
      <c r="AF75" s="1200" t="e">
        <f t="shared" si="18"/>
        <v>#DIV/0!</v>
      </c>
      <c r="AG75" s="1200" t="e">
        <f t="shared" si="18"/>
        <v>#DIV/0!</v>
      </c>
      <c r="AH75" s="1384" t="e">
        <f t="shared" si="7"/>
        <v>#DIV/0!</v>
      </c>
      <c r="AI75" s="1383">
        <f t="array" ref="AI75">IF(SUM(($L75:$Z75)*($L$11:$Z$11)*($L$12:$Z$12=AI$12))&gt;0,100,0)</f>
        <v>0</v>
      </c>
      <c r="AJ75" s="1200">
        <f t="array" ref="AJ75">IF(SUM(($L75:$Z75)*($L$11:$Z$11)*($L$12:$Z$12=AJ$12))&gt;0,100,0)</f>
        <v>0</v>
      </c>
      <c r="AK75" s="1200">
        <f t="array" ref="AK75">IF(SUM(($L75:$Z75)*($L$11:$Z$11)*($L$12:$Z$12=AK$12))&gt;0,100,0)</f>
        <v>0</v>
      </c>
      <c r="AL75" s="1384">
        <f t="array" ref="AL75">IF(SUM(($L75:$Z75)*($L$11:$Z$11)*($L$12:$Z$12=AL$12))&gt;0,100,0)</f>
        <v>0</v>
      </c>
      <c r="AM75" s="1383" t="str">
        <f t="array" ref="AM75">IF(G75&lt;&gt;0,SUM(($L75:$Z75)*($L$12:$Z$12=AM$12))/G75*100,нет)</f>
        <v>нет</v>
      </c>
      <c r="AN75" s="1200" t="str">
        <f t="array" ref="AN75">IF(H75&lt;&gt;0,SUM(($L75:$Z75)*($L$12:$Z$12=AN$12))/H75*100,нет)</f>
        <v>нет</v>
      </c>
      <c r="AO75" s="1200" t="str">
        <f t="array" ref="AO75">IF(SUM($I75:$J75)&lt;&gt;0,SUM(($L75:$Z75)*($L$12:$Z$12=AO$12))/SUM($I75:$J75)*100,нет)</f>
        <v>нет</v>
      </c>
      <c r="AP75" s="1384" t="str">
        <f t="array" ref="AP75">IF(K75&lt;&gt;0,SUM(($L75:$Z75)*($L$12:$Z$12=AP$12))/K75*100,нет)</f>
        <v>нет</v>
      </c>
      <c r="AQ75" s="1380">
        <f t="array" ref="AQ75">SUM(($L75:$Z75)*($L$12:$Z$12=AQ$12))</f>
        <v>0</v>
      </c>
      <c r="AR75" s="1381">
        <f t="array" ref="AR75">SUM(($L75:$Z75)*($L$12:$Z$12=AR$12))</f>
        <v>0</v>
      </c>
      <c r="AS75" s="1381">
        <f t="array" ref="AS75">SUM(($L75:$Z75)*($L$12:$Z$12=AS$12))</f>
        <v>0</v>
      </c>
      <c r="AT75" s="1382">
        <f t="array" ref="AT75">SUM(($L75:$Z75)*($L$12:$Z$12=AT$12))</f>
        <v>0</v>
      </c>
      <c r="AU75" s="1124"/>
      <c r="AV75" s="1124"/>
      <c r="AW75" s="1124"/>
      <c r="AX75" s="372"/>
      <c r="AY75" s="1125"/>
      <c r="AZ75" s="372"/>
      <c r="BA75" s="372"/>
      <c r="BB75" s="372"/>
      <c r="BC75" s="372"/>
      <c r="BD75" s="372"/>
      <c r="BE75" s="372"/>
      <c r="BF75" s="372"/>
      <c r="BG75" s="372"/>
      <c r="BH75" s="372"/>
      <c r="BI75" s="372"/>
      <c r="BJ75" s="372"/>
      <c r="BK75" s="372"/>
      <c r="BL75" s="372"/>
    </row>
    <row r="76" spans="1:64" s="371" customFormat="1" x14ac:dyDescent="0.2">
      <c r="A76" s="1215" t="s">
        <v>501</v>
      </c>
      <c r="B76" s="370" t="str">
        <f>IF(LEN(КАФЕДРА!B76)&gt;2,КАФЕДРА!B76,"")</f>
        <v>Заведующий кафедрой</v>
      </c>
      <c r="C76" s="1196">
        <f>IF(LEN(КАФЕДРА!$A76)&gt;2,КАФЕДРА!C76,0)</f>
        <v>0</v>
      </c>
      <c r="D76" s="1367" t="str">
        <f t="shared" si="15"/>
        <v>нет</v>
      </c>
      <c r="E76" s="1360">
        <f t="shared" si="6"/>
        <v>0</v>
      </c>
      <c r="F76" s="1205">
        <f t="array" ref="F76">SUM(($L76:$Z76)*($L$11:$Z$11))</f>
        <v>0</v>
      </c>
      <c r="G76" s="1869"/>
      <c r="H76" s="1892"/>
      <c r="I76" s="1865"/>
      <c r="J76" s="1395"/>
      <c r="K76" s="1361"/>
      <c r="L76" s="1874"/>
      <c r="M76" s="1873"/>
      <c r="N76" s="1875"/>
      <c r="O76" s="1893"/>
      <c r="P76" s="1398"/>
      <c r="Q76" s="1395"/>
      <c r="R76" s="1395"/>
      <c r="S76" s="1885"/>
      <c r="T76" s="1362"/>
      <c r="U76" s="1363"/>
      <c r="V76" s="1363"/>
      <c r="W76" s="1363"/>
      <c r="X76" s="1363"/>
      <c r="Y76" s="1363"/>
      <c r="Z76" s="1361"/>
      <c r="AA76" s="1364">
        <f t="array" ref="AA76">SUM(($L76:$Z76)*($L$11:$Z$11)*($L$12:$Z$12=AA$12))</f>
        <v>0</v>
      </c>
      <c r="AB76" s="1287">
        <f t="array" ref="AB76">SUM(($L76:$Z76)*($L$11:$Z$11)*($L$12:$Z$12=AB$12))</f>
        <v>0</v>
      </c>
      <c r="AC76" s="1287">
        <f t="array" ref="AC76">SUM(($L76:$Z76)*($L$11:$Z$11)*($L$12:$Z$12=AC$12))</f>
        <v>0</v>
      </c>
      <c r="AD76" s="1365">
        <f t="array" ref="AD76">SUM(($L76:$Z76)*($L$11:$Z$11)*($L$12:$Z$12=AD$12))</f>
        <v>0</v>
      </c>
      <c r="AE76" s="1366" t="e">
        <f t="shared" si="18"/>
        <v>#DIV/0!</v>
      </c>
      <c r="AF76" s="1205" t="e">
        <f t="shared" si="18"/>
        <v>#DIV/0!</v>
      </c>
      <c r="AG76" s="1205" t="e">
        <f t="shared" si="18"/>
        <v>#DIV/0!</v>
      </c>
      <c r="AH76" s="1288" t="e">
        <f t="shared" ref="AH76:AH77" si="19">AD76/$C76</f>
        <v>#DIV/0!</v>
      </c>
      <c r="AI76" s="1366">
        <f t="array" ref="AI76">IF(SUM(($L76:$Z76)*($L$11:$Z$11)*($L$12:$Z$12=AI$12))&gt;0,100,0)</f>
        <v>0</v>
      </c>
      <c r="AJ76" s="1205">
        <f t="array" ref="AJ76">IF(SUM(($L76:$Z76)*($L$11:$Z$11)*($L$12:$Z$12=AJ$12))&gt;0,100,0)</f>
        <v>0</v>
      </c>
      <c r="AK76" s="1205">
        <f t="array" ref="AK76">IF(SUM(($L76:$Z76)*($L$11:$Z$11)*($L$12:$Z$12=AK$12))&gt;0,100,0)</f>
        <v>0</v>
      </c>
      <c r="AL76" s="1288">
        <f t="array" ref="AL76">IF(SUM(($L76:$Z76)*($L$11:$Z$11)*($L$12:$Z$12=AL$12))&gt;0,100,0)</f>
        <v>0</v>
      </c>
      <c r="AM76" s="1366" t="str">
        <f t="array" ref="AM76">IF(G76&lt;&gt;0,SUM(($L76:$Z76)*($L$12:$Z$12=AM$12))/G76*100,нет)</f>
        <v>нет</v>
      </c>
      <c r="AN76" s="1205" t="str">
        <f t="array" ref="AN76">IF(H76&lt;&gt;0,SUM(($L76:$Z76)*($L$12:$Z$12=AN$12))/H76*100,нет)</f>
        <v>нет</v>
      </c>
      <c r="AO76" s="1205" t="str">
        <f t="array" ref="AO76">IF(SUM($I76:$J76)&lt;&gt;0,SUM(($L76:$Z76)*($L$12:$Z$12=AO$12))/SUM($I76:$J76)*100,нет)</f>
        <v>нет</v>
      </c>
      <c r="AP76" s="1288" t="str">
        <f t="array" ref="AP76">IF(K76&lt;&gt;0,SUM(($L76:$Z76)*($L$12:$Z$12=AP$12))/K76*100,нет)</f>
        <v>нет</v>
      </c>
      <c r="AQ76" s="1364">
        <f t="array" ref="AQ76">SUM(($L76:$Z76)*($L$12:$Z$12=AQ$12))</f>
        <v>0</v>
      </c>
      <c r="AR76" s="1287">
        <f t="array" ref="AR76">SUM(($L76:$Z76)*($L$12:$Z$12=AR$12))</f>
        <v>0</v>
      </c>
      <c r="AS76" s="1287">
        <f t="array" ref="AS76">SUM(($L76:$Z76)*($L$12:$Z$12=AS$12))</f>
        <v>0</v>
      </c>
      <c r="AT76" s="1365">
        <f t="array" ref="AT76">SUM(($L76:$Z76)*($L$12:$Z$12=AT$12))</f>
        <v>0</v>
      </c>
    </row>
    <row r="77" spans="1:64" ht="15" thickBot="1" x14ac:dyDescent="0.25">
      <c r="A77" s="1199" t="s">
        <v>502</v>
      </c>
      <c r="B77" s="1174" t="str">
        <f>IF(LEN(КАФЕДРА!B77)&gt;2,КАФЕДРА!B77,"")</f>
        <v>Заведующий кафедрой</v>
      </c>
      <c r="C77" s="1168">
        <f>IF(LEN(КАФЕДРА!$A77)&gt;2,КАФЕДРА!C77,0)</f>
        <v>0</v>
      </c>
      <c r="D77" s="1367" t="str">
        <f t="shared" si="15"/>
        <v>нет</v>
      </c>
      <c r="E77" s="1375">
        <f t="shared" si="6"/>
        <v>0</v>
      </c>
      <c r="F77" s="1200">
        <f t="array" ref="F77">SUM(($L77:$Z77)*($L$11:$Z$11))</f>
        <v>0</v>
      </c>
      <c r="G77" s="1871"/>
      <c r="H77" s="1895"/>
      <c r="I77" s="1867"/>
      <c r="J77" s="1396"/>
      <c r="K77" s="1376"/>
      <c r="L77" s="1880"/>
      <c r="M77" s="1879"/>
      <c r="N77" s="1881"/>
      <c r="O77" s="1377"/>
      <c r="P77" s="1400"/>
      <c r="Q77" s="1396"/>
      <c r="R77" s="1396"/>
      <c r="S77" s="1887"/>
      <c r="T77" s="1378"/>
      <c r="U77" s="1379"/>
      <c r="V77" s="1379"/>
      <c r="W77" s="1379"/>
      <c r="X77" s="1379"/>
      <c r="Y77" s="1379"/>
      <c r="Z77" s="1376"/>
      <c r="AA77" s="1380">
        <f t="array" ref="AA77">SUM(($L77:$Z77)*($L$11:$Z$11)*($L$12:$Z$12=AA$12))</f>
        <v>0</v>
      </c>
      <c r="AB77" s="1381">
        <f t="array" ref="AB77">SUM(($L77:$Z77)*($L$11:$Z$11)*($L$12:$Z$12=AB$12))</f>
        <v>0</v>
      </c>
      <c r="AC77" s="1381">
        <f t="array" ref="AC77">SUM(($L77:$Z77)*($L$11:$Z$11)*($L$12:$Z$12=AC$12))</f>
        <v>0</v>
      </c>
      <c r="AD77" s="1382">
        <f t="array" ref="AD77">SUM(($L77:$Z77)*($L$11:$Z$11)*($L$12:$Z$12=AD$12))</f>
        <v>0</v>
      </c>
      <c r="AE77" s="1383" t="e">
        <f t="shared" si="18"/>
        <v>#DIV/0!</v>
      </c>
      <c r="AF77" s="1200" t="e">
        <f t="shared" si="18"/>
        <v>#DIV/0!</v>
      </c>
      <c r="AG77" s="1200" t="e">
        <f t="shared" si="18"/>
        <v>#DIV/0!</v>
      </c>
      <c r="AH77" s="1384" t="e">
        <f t="shared" si="19"/>
        <v>#DIV/0!</v>
      </c>
      <c r="AI77" s="1383">
        <f t="array" ref="AI77">IF(SUM(($L77:$Z77)*($L$11:$Z$11)*($L$12:$Z$12=AI$12))&gt;0,100,0)</f>
        <v>0</v>
      </c>
      <c r="AJ77" s="1200">
        <f t="array" ref="AJ77">IF(SUM(($L77:$Z77)*($L$11:$Z$11)*($L$12:$Z$12=AJ$12))&gt;0,100,0)</f>
        <v>0</v>
      </c>
      <c r="AK77" s="1200">
        <f t="array" ref="AK77">IF(SUM(($L77:$Z77)*($L$11:$Z$11)*($L$12:$Z$12=AK$12))&gt;0,100,0)</f>
        <v>0</v>
      </c>
      <c r="AL77" s="1384">
        <f t="array" ref="AL77">IF(SUM(($L77:$Z77)*($L$11:$Z$11)*($L$12:$Z$12=AL$12))&gt;0,100,0)</f>
        <v>0</v>
      </c>
      <c r="AM77" s="1383" t="str">
        <f t="array" ref="AM77">IF(G77&lt;&gt;0,SUM(($L77:$Z77)*($L$12:$Z$12=AM$12))/G77*100,нет)</f>
        <v>нет</v>
      </c>
      <c r="AN77" s="1200" t="str">
        <f t="array" ref="AN77">IF(H77&lt;&gt;0,SUM(($L77:$Z77)*($L$12:$Z$12=AN$12))/H77*100,нет)</f>
        <v>нет</v>
      </c>
      <c r="AO77" s="1200" t="str">
        <f t="array" ref="AO77">IF(SUM($I77:$J77)&lt;&gt;0,SUM(($L77:$Z77)*($L$12:$Z$12=AO$12))/SUM($I77:$J77)*100,нет)</f>
        <v>нет</v>
      </c>
      <c r="AP77" s="1384" t="str">
        <f t="array" ref="AP77">IF(K77&lt;&gt;0,SUM(($L77:$Z77)*($L$12:$Z$12=AP$12))/K77*100,нет)</f>
        <v>нет</v>
      </c>
      <c r="AQ77" s="1380">
        <f t="array" ref="AQ77">SUM(($L77:$Z77)*($L$12:$Z$12=AQ$12))</f>
        <v>0</v>
      </c>
      <c r="AR77" s="1381">
        <f t="array" ref="AR77">SUM(($L77:$Z77)*($L$12:$Z$12=AR$12))</f>
        <v>0</v>
      </c>
      <c r="AS77" s="1381">
        <f t="array" ref="AS77">SUM(($L77:$Z77)*($L$12:$Z$12=AS$12))</f>
        <v>0</v>
      </c>
      <c r="AT77" s="1382">
        <f t="array" ref="AT77">SUM(($L77:$Z77)*($L$12:$Z$12=AT$12))</f>
        <v>0</v>
      </c>
    </row>
    <row r="78" spans="1:64" s="371" customFormat="1" x14ac:dyDescent="0.2"/>
  </sheetData>
  <mergeCells count="10">
    <mergeCell ref="L8:Z8"/>
    <mergeCell ref="G8:K9"/>
    <mergeCell ref="AQ9:AT9"/>
    <mergeCell ref="AM9:AP9"/>
    <mergeCell ref="T9:Z9"/>
    <mergeCell ref="L9:N9"/>
    <mergeCell ref="P9:S9"/>
    <mergeCell ref="AI9:AL9"/>
    <mergeCell ref="AE9:AH9"/>
    <mergeCell ref="AA9:AD9"/>
  </mergeCells>
  <hyperlinks>
    <hyperlink ref="A6" location="КАФЕДРА!R21C49" display="← на общую страницу"/>
    <hyperlink ref="P6" location="КАФЕДРА!R21C23" display="← на общую страницу"/>
    <hyperlink ref="L6" location="КАФЕДРА!R21C19" display="← на общую страницу"/>
    <hyperlink ref="O6" location="КАФЕДРА!R21C19" display="← на общую страницу"/>
    <hyperlink ref="T6" location="КАФЕДРА!R21C111" display="← на общую страницу"/>
  </hyperlinks>
  <pageMargins left="0.23622047244094491" right="0.23622047244094491" top="0.35433070866141736" bottom="0.35433070866141736" header="0" footer="0.11811023622047245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5">
    <tabColor theme="6" tint="0.39997558519241921"/>
    <pageSetUpPr fitToPage="1"/>
  </sheetPr>
  <dimension ref="A1:CC78"/>
  <sheetViews>
    <sheetView zoomScale="90" zoomScaleNormal="90" workbookViewId="0">
      <pane xSplit="5" ySplit="19" topLeftCell="F20" activePane="bottomRight" state="frozen"/>
      <selection activeCell="AL19" sqref="AL19"/>
      <selection pane="topRight" activeCell="AL19" sqref="AL19"/>
      <selection pane="bottomLeft" activeCell="AL19" sqref="AL19"/>
      <selection pane="bottomRight" activeCell="J42" sqref="J42"/>
    </sheetView>
  </sheetViews>
  <sheetFormatPr defaultColWidth="9.140625" defaultRowHeight="14.25" x14ac:dyDescent="0.2"/>
  <cols>
    <col min="1" max="1" width="50.7109375" style="182" customWidth="1"/>
    <col min="2" max="2" width="16.7109375" style="258" customWidth="1"/>
    <col min="3" max="3" width="9.7109375" style="182" bestFit="1" customWidth="1"/>
    <col min="4" max="4" width="9.140625" style="182" customWidth="1"/>
    <col min="5" max="5" width="9.28515625" style="182" hidden="1" customWidth="1"/>
    <col min="6" max="11" width="9.140625" style="182"/>
    <col min="12" max="12" width="15.5703125" style="182" customWidth="1"/>
    <col min="13" max="13" width="14.5703125" style="182" customWidth="1"/>
    <col min="14" max="15" width="9.28515625" style="182" hidden="1" customWidth="1"/>
    <col min="16" max="16" width="7.7109375" style="182" hidden="1" customWidth="1"/>
    <col min="17" max="17" width="12.5703125" style="182" customWidth="1"/>
    <col min="18" max="18" width="12.140625" style="182" customWidth="1"/>
    <col min="19" max="19" width="12" style="182" customWidth="1"/>
    <col min="20" max="21" width="9.140625" style="182"/>
    <col min="22" max="22" width="24.7109375" style="182" customWidth="1"/>
    <col min="23" max="23" width="2.140625" style="258" customWidth="1"/>
    <col min="24" max="24" width="9.140625" style="182" customWidth="1"/>
    <col min="25" max="37" width="9.140625" style="182"/>
    <col min="38" max="38" width="11.140625" style="182" customWidth="1"/>
    <col min="39" max="16384" width="9.140625" style="182"/>
  </cols>
  <sheetData>
    <row r="1" spans="1:19" ht="19.5" hidden="1" x14ac:dyDescent="0.25">
      <c r="A1" s="179" t="str">
        <f>IF(LEN(КАФЕДРА!A1)&gt;2,КАФЕДРА!A1,"")</f>
        <v>Факультет:</v>
      </c>
      <c r="B1" s="409" t="str">
        <f>IF(LEN(КАФЕДРА!B1)&gt;2,КАФЕДРА!B1,"")</f>
        <v xml:space="preserve">Впишите название факультет </v>
      </c>
      <c r="C1" s="219"/>
      <c r="D1" s="220" t="s">
        <v>144</v>
      </c>
      <c r="E1" s="220" t="s">
        <v>144</v>
      </c>
      <c r="F1" s="184" t="s">
        <v>73</v>
      </c>
      <c r="L1" s="181"/>
      <c r="M1" s="181"/>
      <c r="N1" s="220" t="s">
        <v>144</v>
      </c>
      <c r="O1" s="220" t="s">
        <v>144</v>
      </c>
      <c r="P1" s="220" t="s">
        <v>144</v>
      </c>
    </row>
    <row r="2" spans="1:19" hidden="1" x14ac:dyDescent="0.2">
      <c r="A2" s="179" t="str">
        <f>IF(LEN(КАФЕДРА!A2)&gt;2,КАФЕДРА!A2,"")</f>
        <v>Кафедра:</v>
      </c>
      <c r="B2" s="409" t="str">
        <f>IF(LEN(КАФЕДРА!B2)&gt;2,КАФЕДРА!B2,"")</f>
        <v>Кафедра Впишите название</v>
      </c>
    </row>
    <row r="3" spans="1:19" hidden="1" x14ac:dyDescent="0.2">
      <c r="B3" s="410" t="s">
        <v>144</v>
      </c>
    </row>
    <row r="4" spans="1:19" hidden="1" x14ac:dyDescent="0.2"/>
    <row r="5" spans="1:19" ht="22.5" x14ac:dyDescent="0.3">
      <c r="A5" s="209" t="s">
        <v>225</v>
      </c>
      <c r="B5" s="182"/>
      <c r="L5" s="184"/>
    </row>
    <row r="6" spans="1:19" ht="23.25" x14ac:dyDescent="0.35">
      <c r="A6" s="183" t="s">
        <v>76</v>
      </c>
      <c r="B6" s="182"/>
      <c r="F6" s="415" t="s">
        <v>299</v>
      </c>
      <c r="M6" s="211"/>
    </row>
    <row r="7" spans="1:19" ht="16.5" x14ac:dyDescent="0.25">
      <c r="A7" s="477" t="s">
        <v>242</v>
      </c>
      <c r="B7" s="182"/>
      <c r="F7" s="184" t="s">
        <v>77</v>
      </c>
      <c r="L7" s="411"/>
      <c r="M7" s="211"/>
    </row>
    <row r="8" spans="1:19" ht="18" x14ac:dyDescent="0.25">
      <c r="A8" s="444">
        <f ca="1">NOW()</f>
        <v>45929.466219097223</v>
      </c>
      <c r="B8" s="182"/>
      <c r="F8" s="185" t="s">
        <v>78</v>
      </c>
    </row>
    <row r="9" spans="1:19" ht="15.75" customHeight="1" x14ac:dyDescent="0.2">
      <c r="A9" s="387" t="str">
        <f>ТИТУЛ!$B$22&amp;" квартал "&amp;ТИТУЛ!$D$22&amp;" года"</f>
        <v>2 квартал 2024 года</v>
      </c>
      <c r="B9" s="182"/>
      <c r="F9" s="2276" t="s">
        <v>542</v>
      </c>
      <c r="G9" s="2277"/>
      <c r="H9" s="2277"/>
      <c r="I9" s="2277"/>
      <c r="J9" s="2277"/>
      <c r="K9" s="2278"/>
      <c r="L9" s="1327" t="s">
        <v>143</v>
      </c>
      <c r="M9" s="1328" t="s">
        <v>145</v>
      </c>
      <c r="N9" s="767"/>
      <c r="O9" s="767"/>
      <c r="P9" s="767"/>
      <c r="Q9" s="767" t="s">
        <v>226</v>
      </c>
      <c r="R9" s="767" t="s">
        <v>228</v>
      </c>
      <c r="S9" s="767" t="s">
        <v>227</v>
      </c>
    </row>
    <row r="10" spans="1:19" ht="16.5" hidden="1" customHeight="1" x14ac:dyDescent="0.2">
      <c r="A10" s="426" t="s">
        <v>171</v>
      </c>
      <c r="B10" s="188"/>
      <c r="C10" s="188"/>
      <c r="D10" s="188"/>
      <c r="E10" s="188"/>
      <c r="F10" s="435">
        <v>5</v>
      </c>
      <c r="G10" s="435">
        <v>10</v>
      </c>
      <c r="H10" s="435">
        <v>10</v>
      </c>
      <c r="I10" s="435">
        <v>10</v>
      </c>
      <c r="J10" s="435">
        <v>5</v>
      </c>
      <c r="K10" s="435">
        <v>10</v>
      </c>
      <c r="L10" s="435">
        <v>10</v>
      </c>
      <c r="M10" s="435">
        <v>20</v>
      </c>
      <c r="N10" s="188"/>
      <c r="O10" s="188"/>
      <c r="P10" s="188"/>
    </row>
    <row r="11" spans="1:19" ht="16.5" hidden="1" customHeight="1" x14ac:dyDescent="0.2">
      <c r="A11" s="213" t="s">
        <v>208</v>
      </c>
      <c r="B11" s="188"/>
      <c r="C11" s="188"/>
      <c r="D11" s="188"/>
      <c r="E11" s="188"/>
      <c r="F11" s="435">
        <v>5</v>
      </c>
      <c r="G11" s="435">
        <v>10</v>
      </c>
      <c r="H11" s="435">
        <v>10</v>
      </c>
      <c r="I11" s="435">
        <v>10</v>
      </c>
      <c r="J11" s="435">
        <v>5</v>
      </c>
      <c r="K11" s="435">
        <v>10</v>
      </c>
      <c r="L11" s="435">
        <v>10</v>
      </c>
      <c r="M11" s="435">
        <v>20</v>
      </c>
      <c r="N11" s="188"/>
      <c r="O11" s="188"/>
      <c r="P11" s="188"/>
    </row>
    <row r="12" spans="1:19" ht="8.25" hidden="1" customHeight="1" x14ac:dyDescent="0.2">
      <c r="A12" s="189"/>
      <c r="B12" s="189"/>
      <c r="C12" s="189"/>
      <c r="D12" s="189"/>
      <c r="E12" s="190"/>
      <c r="F12" s="189"/>
      <c r="G12" s="189"/>
      <c r="H12" s="189"/>
      <c r="I12" s="189"/>
      <c r="J12" s="189"/>
      <c r="K12" s="189"/>
      <c r="L12" s="190"/>
      <c r="M12" s="190"/>
      <c r="N12" s="190"/>
      <c r="O12" s="190"/>
      <c r="P12" s="190"/>
    </row>
    <row r="13" spans="1:19" ht="144.75" customHeight="1" thickBot="1" x14ac:dyDescent="0.25">
      <c r="A13" s="191" t="str">
        <f>КАФЕДРА!A10</f>
        <v>Наименование кафедры</v>
      </c>
      <c r="B13" s="1227" t="s">
        <v>327</v>
      </c>
      <c r="C13" s="193" t="s">
        <v>79</v>
      </c>
      <c r="D13" s="1171" t="s">
        <v>80</v>
      </c>
      <c r="E13" s="1278" t="s">
        <v>200</v>
      </c>
      <c r="F13" s="1279" t="s">
        <v>81</v>
      </c>
      <c r="G13" s="478" t="s">
        <v>82</v>
      </c>
      <c r="H13" s="478" t="s">
        <v>83</v>
      </c>
      <c r="I13" s="478" t="s">
        <v>84</v>
      </c>
      <c r="J13" s="478" t="s">
        <v>85</v>
      </c>
      <c r="K13" s="1280" t="s">
        <v>86</v>
      </c>
      <c r="L13" s="1281" t="s">
        <v>469</v>
      </c>
      <c r="M13" s="1282" t="s">
        <v>430</v>
      </c>
      <c r="N13" s="1171" t="s">
        <v>204</v>
      </c>
      <c r="O13" s="1171" t="s">
        <v>205</v>
      </c>
      <c r="P13" s="1171" t="s">
        <v>206</v>
      </c>
      <c r="Q13" s="1171" t="s">
        <v>201</v>
      </c>
      <c r="R13" s="1171" t="s">
        <v>202</v>
      </c>
      <c r="S13" s="1171" t="s">
        <v>203</v>
      </c>
    </row>
    <row r="14" spans="1:19" ht="14.25" hidden="1" customHeight="1" x14ac:dyDescent="0.2">
      <c r="A14" s="195"/>
      <c r="B14" s="195"/>
      <c r="C14" s="196"/>
      <c r="D14" s="195"/>
      <c r="E14" s="768"/>
      <c r="F14" s="195"/>
      <c r="G14" s="195"/>
      <c r="H14" s="195"/>
      <c r="I14" s="195"/>
      <c r="J14" s="195"/>
      <c r="K14" s="195"/>
      <c r="L14" s="768"/>
      <c r="M14" s="195"/>
      <c r="N14" s="195"/>
      <c r="O14" s="195"/>
      <c r="P14" s="195"/>
      <c r="Q14" s="767"/>
      <c r="R14" s="767"/>
      <c r="S14" s="767"/>
    </row>
    <row r="15" spans="1:19" ht="14.25" hidden="1" customHeight="1" x14ac:dyDescent="0.2">
      <c r="A15" s="195"/>
      <c r="B15" s="195"/>
      <c r="C15" s="196"/>
      <c r="D15" s="195"/>
      <c r="E15" s="768"/>
      <c r="F15" s="195"/>
      <c r="G15" s="195"/>
      <c r="H15" s="195"/>
      <c r="I15" s="195"/>
      <c r="J15" s="195"/>
      <c r="K15" s="195"/>
      <c r="L15" s="768"/>
      <c r="M15" s="195"/>
      <c r="N15" s="195"/>
      <c r="O15" s="195"/>
      <c r="P15" s="195"/>
      <c r="Q15" s="767"/>
      <c r="R15" s="767"/>
      <c r="S15" s="767"/>
    </row>
    <row r="16" spans="1:19" ht="14.25" hidden="1" customHeight="1" x14ac:dyDescent="0.2">
      <c r="A16" s="195"/>
      <c r="B16" s="195"/>
      <c r="C16" s="196"/>
      <c r="D16" s="195"/>
      <c r="E16" s="768"/>
      <c r="F16" s="195"/>
      <c r="G16" s="195"/>
      <c r="H16" s="195"/>
      <c r="I16" s="195"/>
      <c r="J16" s="195"/>
      <c r="K16" s="195"/>
      <c r="L16" s="768"/>
      <c r="M16" s="195"/>
      <c r="N16" s="195"/>
      <c r="O16" s="195"/>
      <c r="P16" s="195"/>
      <c r="Q16" s="767"/>
      <c r="R16" s="767"/>
      <c r="S16" s="767"/>
    </row>
    <row r="17" spans="1:81" ht="14.25" hidden="1" customHeight="1" x14ac:dyDescent="0.2">
      <c r="A17" s="195"/>
      <c r="B17" s="195"/>
      <c r="C17" s="196"/>
      <c r="D17" s="195"/>
      <c r="E17" s="768"/>
      <c r="F17" s="195"/>
      <c r="G17" s="195"/>
      <c r="H17" s="195"/>
      <c r="I17" s="195"/>
      <c r="J17" s="195"/>
      <c r="K17" s="195"/>
      <c r="L17" s="768"/>
      <c r="M17" s="195"/>
      <c r="N17" s="195"/>
      <c r="O17" s="195"/>
      <c r="P17" s="195"/>
      <c r="Q17" s="767"/>
      <c r="R17" s="767"/>
      <c r="S17" s="767"/>
    </row>
    <row r="18" spans="1:81" ht="6.75" hidden="1" customHeight="1" thickBot="1" x14ac:dyDescent="0.25">
      <c r="A18" s="197"/>
      <c r="B18" s="197"/>
      <c r="C18" s="198"/>
      <c r="D18" s="197"/>
      <c r="E18" s="1283"/>
      <c r="F18" s="197"/>
      <c r="G18" s="197"/>
      <c r="H18" s="197"/>
      <c r="I18" s="197"/>
      <c r="J18" s="197"/>
      <c r="K18" s="197"/>
      <c r="L18" s="1284"/>
      <c r="M18" s="199"/>
      <c r="N18" s="199"/>
      <c r="O18" s="199"/>
      <c r="P18" s="199"/>
      <c r="Q18" s="199"/>
      <c r="R18" s="199"/>
      <c r="S18" s="199"/>
    </row>
    <row r="19" spans="1:81" s="372" customFormat="1" ht="15" thickBot="1" x14ac:dyDescent="0.25">
      <c r="A19" s="1481" t="str">
        <f>КАФЕДРА!A19</f>
        <v>сумма по кафедрам (проверочная)</v>
      </c>
      <c r="B19" s="1482"/>
      <c r="C19" s="1285">
        <f t="array" ref="C19">SUM(C20:C77)/COUNT(C20:C77)</f>
        <v>0</v>
      </c>
      <c r="D19" s="1285">
        <f t="array" ref="D19">IF(SUM(($F19:$K19)*($F$11:$K$11))&gt;0,1,0)+IF(SUM(($L19:$L19)*($L$11:$L$11))&gt;0,1,0)+IF(SUM(($M19:$M19)*($M$11:$M$11))&gt;0,1,0)</f>
        <v>0</v>
      </c>
      <c r="E19" s="1483">
        <f t="array" ref="E19">SUM(($F19:$M19)*($F$11:$M$11))</f>
        <v>0</v>
      </c>
      <c r="F19" s="1285">
        <f t="shared" ref="F19:M19" si="0">SUM(F20:F77)</f>
        <v>0</v>
      </c>
      <c r="G19" s="1285">
        <f t="shared" si="0"/>
        <v>0</v>
      </c>
      <c r="H19" s="1483">
        <f t="shared" si="0"/>
        <v>0</v>
      </c>
      <c r="I19" s="1484">
        <f t="shared" si="0"/>
        <v>0</v>
      </c>
      <c r="J19" s="1285">
        <f t="shared" si="0"/>
        <v>0</v>
      </c>
      <c r="K19" s="1286">
        <f t="shared" si="0"/>
        <v>0</v>
      </c>
      <c r="L19" s="1479">
        <f t="shared" si="0"/>
        <v>0</v>
      </c>
      <c r="M19" s="1487">
        <f t="shared" si="0"/>
        <v>0</v>
      </c>
      <c r="N19" s="1486">
        <f t="array" ref="N19">SUM(($F19:$K19)*($F$11:$K$11))</f>
        <v>0</v>
      </c>
      <c r="O19" s="1480">
        <f t="array" ref="O19">SUM(($L19:$L19)*($L$11:$L$11))</f>
        <v>0</v>
      </c>
      <c r="P19" s="1485">
        <f t="array" ref="P19">SUM(($M19:$M19)*($M$11:$M$11))</f>
        <v>0</v>
      </c>
      <c r="Q19" s="1285">
        <f>SUM(Q20:Q77)/COUNT(Q20:Q77)</f>
        <v>0</v>
      </c>
      <c r="R19" s="1285">
        <f>SUM(R20:R77)/COUNT(R20:R77)</f>
        <v>0</v>
      </c>
      <c r="S19" s="1483">
        <f>SUM(S20:S77)/COUNT(S20:S77)</f>
        <v>0</v>
      </c>
      <c r="T19" s="1488"/>
      <c r="W19" s="406"/>
    </row>
    <row r="20" spans="1:81" s="372" customFormat="1" x14ac:dyDescent="0.2">
      <c r="A20" s="552" t="str">
        <f>IF(LEN(КАФЕДРА!A20)&gt;2,КАФЕДРА!A20,"")</f>
        <v>Акушерства и гинекологии с курсом ДПО</v>
      </c>
      <c r="B20" s="726" t="str">
        <f>КАФЕДРА!$D20</f>
        <v>КМЕДИЦИНЫ</v>
      </c>
      <c r="C20" s="584">
        <f t="shared" ref="C20:C51" si="1">IF($E20&gt;=200,100,$D20*100/3)</f>
        <v>0</v>
      </c>
      <c r="D20" s="206">
        <f t="array" ref="D20">IF(SUM(($F20:$K20)*($F$11:$K$11))&gt;0,1,0)+IF(SUM(($L20:$L20)*($L$11:$L$11))&gt;0,1,0)+IF(SUM(($M20:$M20)*($M$11:$M$11))&gt;0,1,0)</f>
        <v>0</v>
      </c>
      <c r="E20" s="1290">
        <f t="array" ref="E20">SUM(($F20:$M20)*($F$11:$M$11))</f>
        <v>0</v>
      </c>
      <c r="F20" s="1477"/>
      <c r="G20" s="1304"/>
      <c r="H20" s="1304"/>
      <c r="I20" s="1304"/>
      <c r="J20" s="1304"/>
      <c r="K20" s="1305"/>
      <c r="L20" s="1306"/>
      <c r="M20" s="1478"/>
      <c r="N20" s="776">
        <f t="array" ref="N20">SUM(($F20:$K20)*($F$11:$K$11))</f>
        <v>0</v>
      </c>
      <c r="O20" s="776">
        <f t="array" ref="O20">SUM(($L20:$L20)*($L$11:$L$11))</f>
        <v>0</v>
      </c>
      <c r="P20" s="776">
        <f t="array" ref="P20">SUM(($M20:$M20)*($M$11:$M$11))</f>
        <v>0</v>
      </c>
      <c r="Q20" s="776">
        <f t="array" ref="Q20">IF(SUM(($F20:$K20)*($F$11:$K$11))&gt;0,100,0)</f>
        <v>0</v>
      </c>
      <c r="R20" s="584">
        <f t="array" ref="R20">IF(SUM(($L20:$L20)*($L$11:$L$11))&gt;0,100,0)</f>
        <v>0</v>
      </c>
      <c r="S20" s="431">
        <f t="array" ref="S20">IF(SUM(($M20:$M20)*($M$11:$M$11))&gt;0,100,0)</f>
        <v>0</v>
      </c>
      <c r="W20" s="406"/>
      <c r="CC20" s="1124"/>
    </row>
    <row r="21" spans="1:81" x14ac:dyDescent="0.2">
      <c r="A21" s="551" t="str">
        <f>IF(LEN(КАФЕДРА!A21)&gt;2,КАФЕДРА!A21,"")</f>
        <v>Анатомии</v>
      </c>
      <c r="B21" s="442" t="str">
        <f>КАФЕДРА!$D21</f>
        <v>КМЕДИЦИНЫ</v>
      </c>
      <c r="C21" s="201">
        <f t="shared" si="1"/>
        <v>0</v>
      </c>
      <c r="D21" s="206">
        <f t="array" ref="D21">IF(SUM(($F21:$K21)*($F$11:$K$11))&gt;0,1,0)+IF(SUM(($L21:$L21)*($L$11:$L$11))&gt;0,1,0)+IF(SUM(($M21:$M21)*($M$11:$M$11))&gt;0,1,0)</f>
        <v>0</v>
      </c>
      <c r="E21" s="1290">
        <f t="array" ref="E21">SUM(($F21:$M21)*($F$11:$M$11))</f>
        <v>0</v>
      </c>
      <c r="F21" s="1291"/>
      <c r="G21" s="1292"/>
      <c r="H21" s="1292"/>
      <c r="I21" s="1292"/>
      <c r="J21" s="1292"/>
      <c r="K21" s="1293"/>
      <c r="L21" s="1294"/>
      <c r="M21" s="1295"/>
      <c r="N21" s="776">
        <f t="array" ref="N21">SUM(($F21:$K21)*($F$11:$K$11))</f>
        <v>0</v>
      </c>
      <c r="O21" s="776">
        <f t="array" ref="O21">SUM(($L21:$L21)*($L$11:$L$11))</f>
        <v>0</v>
      </c>
      <c r="P21" s="776">
        <f t="array" ref="P21">SUM(($M21:$M21)*($M$11:$M$11))</f>
        <v>0</v>
      </c>
      <c r="Q21" s="776">
        <f t="array" ref="Q21">IF(SUM(($F21:$K21)*($F$11:$K$11))&gt;0,100,0)</f>
        <v>0</v>
      </c>
      <c r="R21" s="584">
        <f t="array" ref="R21">IF(SUM(($L21:$L21)*($L$11:$L$11))&gt;0,100,0)</f>
        <v>0</v>
      </c>
      <c r="S21" s="431">
        <f t="array" ref="S21">IF(SUM(($M21:$M21)*($M$11:$M$11))&gt;0,100,0)</f>
        <v>0</v>
      </c>
      <c r="U21" s="376"/>
    </row>
    <row r="22" spans="1:81" x14ac:dyDescent="0.2">
      <c r="A22" s="551" t="str">
        <f>IF(LEN(КАФЕДРА!A22)&gt;2,КАФЕДРА!A22,"")</f>
        <v>Анестезиологии и реаниматологии с курсом ДПО</v>
      </c>
      <c r="B22" s="442" t="str">
        <f>КАФЕДРА!$D22</f>
        <v>КМЕДИЦИНЫ</v>
      </c>
      <c r="C22" s="201">
        <f t="shared" si="1"/>
        <v>0</v>
      </c>
      <c r="D22" s="206">
        <f t="array" ref="D22">IF(SUM(($F22:$K22)*($F$11:$K$11))&gt;0,1,0)+IF(SUM(($L22:$L22)*($L$11:$L$11))&gt;0,1,0)+IF(SUM(($M22:$M22)*($M$11:$M$11))&gt;0,1,0)</f>
        <v>0</v>
      </c>
      <c r="E22" s="1290">
        <f t="array" ref="E22">SUM(($F22:$M22)*($F$11:$M$11))</f>
        <v>0</v>
      </c>
      <c r="F22" s="1291"/>
      <c r="G22" s="1292"/>
      <c r="H22" s="1292"/>
      <c r="I22" s="1292"/>
      <c r="J22" s="1292"/>
      <c r="K22" s="1293"/>
      <c r="L22" s="1294"/>
      <c r="M22" s="1295"/>
      <c r="N22" s="776">
        <f t="array" ref="N22">SUM(($F22:$K22)*($F$11:$K$11))</f>
        <v>0</v>
      </c>
      <c r="O22" s="776">
        <f t="array" ref="O22">SUM(($L22:$L22)*($L$11:$L$11))</f>
        <v>0</v>
      </c>
      <c r="P22" s="776">
        <f t="array" ref="P22">SUM(($M22:$M22)*($M$11:$M$11))</f>
        <v>0</v>
      </c>
      <c r="Q22" s="776">
        <f t="array" ref="Q22">IF(SUM(($F22:$K22)*($F$11:$K$11))&gt;0,100,0)</f>
        <v>0</v>
      </c>
      <c r="R22" s="584">
        <f>IF(SUM(($L22:$L22)*($L$11:$L$11))&gt;0,100,0)</f>
        <v>0</v>
      </c>
      <c r="S22" s="431">
        <f t="array" ref="S22">IF(SUM(($M22:$M22)*($M$11:$M$11))&gt;0,100,0)</f>
        <v>0</v>
      </c>
      <c r="U22" s="376"/>
    </row>
    <row r="23" spans="1:81" x14ac:dyDescent="0.2">
      <c r="A23" s="551" t="str">
        <f>IF(LEN(КАФЕДРА!A23)&gt;2,КАФЕДРА!A23,"")</f>
        <v>Госпитальной терапии и эндокринологии</v>
      </c>
      <c r="B23" s="442" t="str">
        <f>КАФЕДРА!$D23</f>
        <v>КМЕДИЦИНЫ</v>
      </c>
      <c r="C23" s="201">
        <f t="shared" si="1"/>
        <v>0</v>
      </c>
      <c r="D23" s="206">
        <f t="array" ref="D23">IF(SUM(($F23:$K23)*($F$11:$K$11))&gt;0,1,0)+IF(SUM(($L23:$L23)*($L$11:$L$11))&gt;0,1,0)+IF(SUM(($M23:$M23)*($M$11:$M$11))&gt;0,1,0)</f>
        <v>0</v>
      </c>
      <c r="E23" s="1290">
        <f t="array" ref="E23">SUM(($F23:$M23)*($F$11:$M$11))</f>
        <v>0</v>
      </c>
      <c r="F23" s="1291"/>
      <c r="G23" s="1292"/>
      <c r="H23" s="1292"/>
      <c r="I23" s="1292"/>
      <c r="J23" s="1292"/>
      <c r="K23" s="1293"/>
      <c r="L23" s="1294"/>
      <c r="M23" s="1295"/>
      <c r="N23" s="776">
        <f t="array" ref="N23">SUM(($F23:$K23)*($F$11:$K$11))</f>
        <v>0</v>
      </c>
      <c r="O23" s="776">
        <f t="array" ref="O23">SUM(($L23:$L23)*($L$11:$L$11))</f>
        <v>0</v>
      </c>
      <c r="P23" s="776">
        <f t="array" ref="P23">SUM(($M23:$M23)*($M$11:$M$11))</f>
        <v>0</v>
      </c>
      <c r="Q23" s="776">
        <f t="array" ref="Q23">IF(SUM(($F23:$K23)*($F$11:$K$11))&gt;0,100,0)</f>
        <v>0</v>
      </c>
      <c r="R23" s="584">
        <f t="array" ref="R23">IF(SUM(($L23:$L23)*($L$11:$L$11))&gt;0,100,0)</f>
        <v>0</v>
      </c>
      <c r="S23" s="431">
        <f t="array" ref="S23">IF(SUM(($M23:$M23)*($M$11:$M$11))&gt;0,100,0)</f>
        <v>0</v>
      </c>
      <c r="U23" s="376"/>
    </row>
    <row r="24" spans="1:81" x14ac:dyDescent="0.2">
      <c r="A24" s="551" t="str">
        <f>IF(LEN(КАФЕДРА!A24)&gt;2,КАФЕДРА!A24,"")</f>
        <v>Госпитальной хирургии</v>
      </c>
      <c r="B24" s="442" t="str">
        <f>КАФЕДРА!$D24</f>
        <v>КМЕДИЦИНЫ</v>
      </c>
      <c r="C24" s="201">
        <f t="shared" si="1"/>
        <v>0</v>
      </c>
      <c r="D24" s="206">
        <f t="array" ref="D24">IF(SUM(($F24:$K24)*($F$11:$K$11))&gt;0,1,0)+IF(SUM(($L24:$L24)*($L$11:$L$11))&gt;0,1,0)+IF(SUM(($M24:$M24)*($M$11:$M$11))&gt;0,1,0)</f>
        <v>0</v>
      </c>
      <c r="E24" s="1290">
        <f t="array" ref="E24">SUM(($F24:$M24)*($F$11:$M$11))</f>
        <v>0</v>
      </c>
      <c r="F24" s="1291"/>
      <c r="G24" s="1292"/>
      <c r="H24" s="1292"/>
      <c r="I24" s="1292"/>
      <c r="J24" s="1292"/>
      <c r="K24" s="1293"/>
      <c r="L24" s="1294"/>
      <c r="M24" s="1295"/>
      <c r="N24" s="776">
        <f t="array" ref="N24">SUM(($F24:$K24)*($F$11:$K$11))</f>
        <v>0</v>
      </c>
      <c r="O24" s="776">
        <f t="array" ref="O24">SUM(($L24:$L24)*($L$11:$L$11))</f>
        <v>0</v>
      </c>
      <c r="P24" s="776">
        <f t="array" ref="P24">SUM(($M24:$M24)*($M$11:$M$11))</f>
        <v>0</v>
      </c>
      <c r="Q24" s="776">
        <f t="array" ref="Q24">IF(SUM(($F24:$K24)*($F$11:$K$11))&gt;0,100,0)</f>
        <v>0</v>
      </c>
      <c r="R24" s="584">
        <f t="array" ref="R24">IF(SUM(($L24:$L24)*($L$11:$L$11))&gt;0,100,0)</f>
        <v>0</v>
      </c>
      <c r="S24" s="431">
        <f t="array" ref="S24">IF(SUM(($M24:$M24)*($M$11:$M$11))&gt;0,100,0)</f>
        <v>0</v>
      </c>
    </row>
    <row r="25" spans="1:81" x14ac:dyDescent="0.2">
      <c r="A25" s="551" t="str">
        <f>IF(LEN(КАФЕДРА!A25)&gt;2,КАФЕДРА!A25,"")</f>
        <v>Неврологии и Нейрохирургии с курсом ДПО</v>
      </c>
      <c r="B25" s="442" t="str">
        <f>КАФЕДРА!$D25</f>
        <v>КМЕДИЦИНЫ</v>
      </c>
      <c r="C25" s="201">
        <f t="shared" si="1"/>
        <v>0</v>
      </c>
      <c r="D25" s="206">
        <f t="array" ref="D25">IF(SUM(($F25:$K25)*($F$11:$K$11))&gt;0,1,0)+IF(SUM(($L25:$L25)*($L$11:$L$11))&gt;0,1,0)+IF(SUM(($M25:$M25)*($M$11:$M$11))&gt;0,1,0)</f>
        <v>0</v>
      </c>
      <c r="E25" s="1290">
        <f t="array" ref="E25">SUM(($F25:$M25)*($F$11:$M$11))</f>
        <v>0</v>
      </c>
      <c r="F25" s="1291"/>
      <c r="G25" s="1292"/>
      <c r="H25" s="1292"/>
      <c r="I25" s="1292"/>
      <c r="J25" s="1292"/>
      <c r="K25" s="1293"/>
      <c r="L25" s="1294"/>
      <c r="M25" s="1295"/>
      <c r="N25" s="776">
        <f t="array" ref="N25">SUM(($F25:$K25)*($F$11:$K$11))</f>
        <v>0</v>
      </c>
      <c r="O25" s="776">
        <f t="array" ref="O25">SUM(($L25:$L25)*($L$11:$L$11))</f>
        <v>0</v>
      </c>
      <c r="P25" s="776">
        <f t="array" ref="P25">SUM(($M25:$M25)*($M$11:$M$11))</f>
        <v>0</v>
      </c>
      <c r="Q25" s="776">
        <f t="array" ref="Q25">IF(SUM(($F25:$K25)*($F$11:$K$11))&gt;0,100,0)</f>
        <v>0</v>
      </c>
      <c r="R25" s="584">
        <f t="array" ref="R25">IF(SUM(($L25:$L25)*($L$11:$L$11))&gt;0,100,0)</f>
        <v>0</v>
      </c>
      <c r="S25" s="431">
        <f t="array" ref="S25">IF(SUM(($M25:$M25)*($M$11:$M$11))&gt;0,100,0)</f>
        <v>0</v>
      </c>
    </row>
    <row r="26" spans="1:81" x14ac:dyDescent="0.2">
      <c r="A26" s="551" t="str">
        <f>IF(LEN(КАФЕДРА!A26)&gt;2,КАФЕДРА!A26,"")</f>
        <v>Нормальной физиологии</v>
      </c>
      <c r="B26" s="442" t="str">
        <f>КАФЕДРА!$D26</f>
        <v>КМЕДИЦИНЫ</v>
      </c>
      <c r="C26" s="201">
        <f t="shared" si="1"/>
        <v>0</v>
      </c>
      <c r="D26" s="206">
        <f t="array" ref="D26">IF(SUM(($F26:$K26)*($F$11:$K$11))&gt;0,1,0)+IF(SUM(($L26:$L26)*($L$11:$L$11))&gt;0,1,0)+IF(SUM(($M26:$M26)*($M$11:$M$11))&gt;0,1,0)</f>
        <v>0</v>
      </c>
      <c r="E26" s="1290">
        <f t="array" ref="E26">SUM(($F26:$M26)*($F$11:$M$11))</f>
        <v>0</v>
      </c>
      <c r="F26" s="1291"/>
      <c r="G26" s="1292"/>
      <c r="H26" s="1292"/>
      <c r="I26" s="1292"/>
      <c r="J26" s="1292"/>
      <c r="K26" s="1293"/>
      <c r="L26" s="1294"/>
      <c r="M26" s="1295"/>
      <c r="N26" s="776">
        <f t="array" ref="N26">SUM(($F26:$K26)*($F$11:$K$11))</f>
        <v>0</v>
      </c>
      <c r="O26" s="776">
        <f t="array" ref="O26">SUM(($L26:$L26)*($L$11:$L$11))</f>
        <v>0</v>
      </c>
      <c r="P26" s="776">
        <f t="array" ref="P26">SUM(($M26:$M26)*($M$11:$M$11))</f>
        <v>0</v>
      </c>
      <c r="Q26" s="776">
        <f t="array" ref="Q26">IF(SUM(($F26:$K26)*($F$11:$K$11))&gt;0,100,0)</f>
        <v>0</v>
      </c>
      <c r="R26" s="584">
        <f t="array" ref="R26">IF(SUM(($L26:$L26)*($L$11:$L$11))&gt;0,100,0)</f>
        <v>0</v>
      </c>
      <c r="S26" s="431">
        <f t="array" ref="S26">IF(SUM(($M26:$M26)*($M$11:$M$11))&gt;0,100,0)</f>
        <v>0</v>
      </c>
    </row>
    <row r="27" spans="1:81" x14ac:dyDescent="0.2">
      <c r="A27" s="551" t="str">
        <f>IF(LEN(КАФЕДРА!A27)&gt;2,КАФЕДРА!A27,"")</f>
        <v>Общей хирургии, оперативной хирургии и топографической анатомии</v>
      </c>
      <c r="B27" s="442" t="str">
        <f>КАФЕДРА!$D27</f>
        <v>КМЕДИЦИНЫ</v>
      </c>
      <c r="C27" s="201">
        <f t="shared" si="1"/>
        <v>0</v>
      </c>
      <c r="D27" s="206">
        <f t="array" ref="D27">IF(SUM(($F27:$K27)*($F$11:$K$11))&gt;0,1,0)+IF(SUM(($L27:$L27)*($L$11:$L$11))&gt;0,1,0)+IF(SUM(($M27:$M27)*($M$11:$M$11))&gt;0,1,0)</f>
        <v>0</v>
      </c>
      <c r="E27" s="1290">
        <f t="array" ref="E27">SUM(($F27:$M27)*($F$11:$M$11))</f>
        <v>0</v>
      </c>
      <c r="F27" s="1291"/>
      <c r="G27" s="1292"/>
      <c r="H27" s="1292"/>
      <c r="I27" s="1292"/>
      <c r="J27" s="1292"/>
      <c r="K27" s="1293"/>
      <c r="L27" s="1294"/>
      <c r="M27" s="1295"/>
      <c r="N27" s="776">
        <f t="array" ref="N27">SUM(($F27:$K27)*($F$11:$K$11))</f>
        <v>0</v>
      </c>
      <c r="O27" s="776">
        <f t="array" ref="O27">SUM(($L27:$L27)*($L$11:$L$11))</f>
        <v>0</v>
      </c>
      <c r="P27" s="776">
        <f t="array" ref="P27">SUM(($M27:$M27)*($M$11:$M$11))</f>
        <v>0</v>
      </c>
      <c r="Q27" s="776">
        <f t="array" ref="Q27">IF(SUM(($F27:$K27)*($F$11:$K$11))&gt;0,100,0)</f>
        <v>0</v>
      </c>
      <c r="R27" s="584">
        <f t="array" ref="R27">IF(SUM(($L27:$L27)*($L$11:$L$11))&gt;0,100,0)</f>
        <v>0</v>
      </c>
      <c r="S27" s="431">
        <f t="array" ref="S27">IF(SUM(($M27:$M27)*($M$11:$M$11))&gt;0,100,0)</f>
        <v>0</v>
      </c>
    </row>
    <row r="28" spans="1:81" x14ac:dyDescent="0.2">
      <c r="A28" s="551" t="str">
        <f>IF(LEN(КАФЕДРА!A28)&gt;2,КАФЕДРА!A28,"")</f>
        <v>Оториноларингологии с курсом ДПО</v>
      </c>
      <c r="B28" s="442" t="str">
        <f>КАФЕДРА!$D28</f>
        <v>КМЕДИЦИНЫ</v>
      </c>
      <c r="C28" s="201">
        <f t="shared" si="1"/>
        <v>0</v>
      </c>
      <c r="D28" s="206">
        <f t="array" ref="D28">IF(SUM(($F28:$K28)*($F$11:$K$11))&gt;0,1,0)+IF(SUM(($L28:$L28)*($L$11:$L$11))&gt;0,1,0)+IF(SUM(($M28:$M28)*($M$11:$M$11))&gt;0,1,0)</f>
        <v>0</v>
      </c>
      <c r="E28" s="1290">
        <f t="array" ref="E28">SUM(($F28:$M28)*($F$11:$M$11))</f>
        <v>0</v>
      </c>
      <c r="F28" s="1291"/>
      <c r="G28" s="1292"/>
      <c r="H28" s="1292"/>
      <c r="I28" s="1292"/>
      <c r="J28" s="1292"/>
      <c r="K28" s="1293"/>
      <c r="L28" s="1294"/>
      <c r="M28" s="1295"/>
      <c r="N28" s="776">
        <f t="array" ref="N28">SUM(($F28:$K28)*($F$11:$K$11))</f>
        <v>0</v>
      </c>
      <c r="O28" s="776">
        <f t="array" ref="O28">SUM(($L28:$L28)*($L$11:$L$11))</f>
        <v>0</v>
      </c>
      <c r="P28" s="776">
        <f t="array" ref="P28">SUM(($M28:$M28)*($M$11:$M$11))</f>
        <v>0</v>
      </c>
      <c r="Q28" s="776">
        <f t="array" ref="Q28">IF(SUM(($F28:$K28)*($F$11:$K$11))&gt;0,100,0)</f>
        <v>0</v>
      </c>
      <c r="R28" s="584">
        <f t="array" ref="R28">IF(SUM(($L28:$L28)*($L$11:$L$11))&gt;0,100,0)</f>
        <v>0</v>
      </c>
      <c r="S28" s="431">
        <f t="array" ref="S28">IF(SUM(($M28:$M28)*($M$11:$M$11))&gt;0,100,0)</f>
        <v>0</v>
      </c>
    </row>
    <row r="29" spans="1:81" x14ac:dyDescent="0.2">
      <c r="A29" s="551" t="str">
        <f>IF(LEN(КАФЕДРА!A29)&gt;2,КАФЕДРА!A29,"")</f>
        <v>Поликлинической терапии</v>
      </c>
      <c r="B29" s="442" t="str">
        <f>КАФЕДРА!$D29</f>
        <v>КМЕДИЦИНЫ</v>
      </c>
      <c r="C29" s="201">
        <f t="shared" si="1"/>
        <v>0</v>
      </c>
      <c r="D29" s="206">
        <f t="array" ref="D29">IF(SUM(($F29:$K29)*($F$11:$K$11))&gt;0,1,0)+IF(SUM(($L29:$L29)*($L$11:$L$11))&gt;0,1,0)+IF(SUM(($M29:$M29)*($M$11:$M$11))&gt;0,1,0)</f>
        <v>0</v>
      </c>
      <c r="E29" s="1290">
        <f t="array" ref="E29">SUM(($F29:$M29)*($F$11:$M$11))</f>
        <v>0</v>
      </c>
      <c r="F29" s="1291"/>
      <c r="G29" s="1292"/>
      <c r="H29" s="1292"/>
      <c r="I29" s="1292"/>
      <c r="J29" s="1292"/>
      <c r="K29" s="1293"/>
      <c r="L29" s="1294"/>
      <c r="M29" s="1295"/>
      <c r="N29" s="776">
        <f t="array" ref="N29">SUM(($F29:$K29)*($F$11:$K$11))</f>
        <v>0</v>
      </c>
      <c r="O29" s="776">
        <f t="array" ref="O29">SUM(($L29:$L29)*($L$11:$L$11))</f>
        <v>0</v>
      </c>
      <c r="P29" s="776">
        <f t="array" ref="P29">SUM(($M29:$M29)*($M$11:$M$11))</f>
        <v>0</v>
      </c>
      <c r="Q29" s="776">
        <f t="array" ref="Q29">IF(SUM(($F29:$K29)*($F$11:$K$11))&gt;0,100,0)</f>
        <v>0</v>
      </c>
      <c r="R29" s="584">
        <f t="array" ref="R29">IF(SUM(($L29:$L29)*($L$11:$L$11))&gt;0,100,0)</f>
        <v>0</v>
      </c>
      <c r="S29" s="431">
        <f t="array" ref="S29">IF(SUM(($M29:$M29)*($M$11:$M$11))&gt;0,100,0)</f>
        <v>0</v>
      </c>
    </row>
    <row r="30" spans="1:81" x14ac:dyDescent="0.2">
      <c r="A30" s="551" t="str">
        <f>IF(LEN(КАФЕДРА!A30)&gt;2,КАФЕДРА!A30,"")</f>
        <v>Пропедевтики внутренних болезней имени профессора З.С. Баркагана</v>
      </c>
      <c r="B30" s="442" t="str">
        <f>КАФЕДРА!$D30</f>
        <v>КМЕДИЦИНЫ</v>
      </c>
      <c r="C30" s="201">
        <f t="shared" si="1"/>
        <v>0</v>
      </c>
      <c r="D30" s="206">
        <f t="array" ref="D30">IF(SUM(($F30:$K30)*($F$11:$K$11))&gt;0,1,0)+IF(SUM(($L30:$L30)*($L$11:$L$11))&gt;0,1,0)+IF(SUM(($M30:$M30)*($M$11:$M$11))&gt;0,1,0)</f>
        <v>0</v>
      </c>
      <c r="E30" s="1290">
        <f t="array" ref="E30">SUM(($F30:$M30)*($F$11:$M$11))</f>
        <v>0</v>
      </c>
      <c r="F30" s="1291"/>
      <c r="G30" s="1292"/>
      <c r="H30" s="1292"/>
      <c r="I30" s="1292"/>
      <c r="J30" s="1292"/>
      <c r="K30" s="1293"/>
      <c r="L30" s="1294"/>
      <c r="M30" s="1295"/>
      <c r="N30" s="776">
        <f t="array" ref="N30">SUM(($F30:$K30)*($F$11:$K$11))</f>
        <v>0</v>
      </c>
      <c r="O30" s="776">
        <f t="array" ref="O30">SUM(($L30:$L30)*($L$11:$L$11))</f>
        <v>0</v>
      </c>
      <c r="P30" s="776">
        <f t="array" ref="P30">SUM(($M30:$M30)*($M$11:$M$11))</f>
        <v>0</v>
      </c>
      <c r="Q30" s="776">
        <f t="array" ref="Q30">IF(SUM(($F30:$K30)*($F$11:$K$11))&gt;0,100,0)</f>
        <v>0</v>
      </c>
      <c r="R30" s="584">
        <f t="array" ref="R30">IF(SUM(($L30:$L30)*($L$11:$L$11))&gt;0,100,0)</f>
        <v>0</v>
      </c>
      <c r="S30" s="431">
        <f t="array" ref="S30">IF(SUM(($M30:$M30)*($M$11:$M$11))&gt;0,100,0)</f>
        <v>0</v>
      </c>
    </row>
    <row r="31" spans="1:81" x14ac:dyDescent="0.2">
      <c r="A31" s="551" t="str">
        <f>IF(LEN(КАФЕДРА!A31)&gt;2,КАФЕДРА!A31,"")</f>
        <v>Терапии и общей врачебной практики с курсом ДПО</v>
      </c>
      <c r="B31" s="442" t="str">
        <f>КАФЕДРА!$D31</f>
        <v>КМЕДИЦИНЫ</v>
      </c>
      <c r="C31" s="201">
        <f t="shared" si="1"/>
        <v>0</v>
      </c>
      <c r="D31" s="206">
        <f t="array" ref="D31">IF(SUM(($F31:$K31)*($F$11:$K$11))&gt;0,1,0)+IF(SUM(($L31:$L31)*($L$11:$L$11))&gt;0,1,0)+IF(SUM(($M31:$M31)*($M$11:$M$11))&gt;0,1,0)</f>
        <v>0</v>
      </c>
      <c r="E31" s="1290">
        <f t="array" ref="E31">SUM(($F31:$M31)*($F$11:$M$11))</f>
        <v>0</v>
      </c>
      <c r="F31" s="1291"/>
      <c r="G31" s="1292"/>
      <c r="H31" s="1292"/>
      <c r="I31" s="1292"/>
      <c r="J31" s="1292"/>
      <c r="K31" s="1293"/>
      <c r="L31" s="1294"/>
      <c r="M31" s="1295"/>
      <c r="N31" s="776">
        <f t="array" ref="N31">SUM(($F31:$K31)*($F$11:$K$11))</f>
        <v>0</v>
      </c>
      <c r="O31" s="776">
        <f t="array" ref="O31">SUM(($L31:$L31)*($L$11:$L$11))</f>
        <v>0</v>
      </c>
      <c r="P31" s="776">
        <f t="array" ref="P31">SUM(($M31:$M31)*($M$11:$M$11))</f>
        <v>0</v>
      </c>
      <c r="Q31" s="776">
        <f t="array" ref="Q31">IF(SUM(($F31:$K31)*($F$11:$K$11))&gt;0,100,0)</f>
        <v>0</v>
      </c>
      <c r="R31" s="584">
        <f t="array" ref="R31">IF(SUM(($L31:$L31)*($L$11:$L$11))&gt;0,100,0)</f>
        <v>0</v>
      </c>
      <c r="S31" s="431">
        <f t="array" ref="S31">IF(SUM(($M31:$M31)*($M$11:$M$11))&gt;0,100,0)</f>
        <v>0</v>
      </c>
    </row>
    <row r="32" spans="1:81" x14ac:dyDescent="0.2">
      <c r="A32" s="551" t="str">
        <f>IF(LEN(КАФЕДРА!A32)&gt;2,КАФЕДРА!A32,"")</f>
        <v>Травматологии и ортопедии</v>
      </c>
      <c r="B32" s="442" t="str">
        <f>КАФЕДРА!$D32</f>
        <v>КМЕДИЦИНЫ</v>
      </c>
      <c r="C32" s="201">
        <f t="shared" si="1"/>
        <v>0</v>
      </c>
      <c r="D32" s="206">
        <f t="array" ref="D32">IF(SUM(($F32:$K32)*($F$11:$K$11))&gt;0,1,0)+IF(SUM(($L32:$L32)*($L$11:$L$11))&gt;0,1,0)+IF(SUM(($M32:$M32)*($M$11:$M$11))&gt;0,1,0)</f>
        <v>0</v>
      </c>
      <c r="E32" s="1290">
        <f t="array" ref="E32">SUM(($F32:$M32)*($F$11:$M$11))</f>
        <v>0</v>
      </c>
      <c r="F32" s="1291"/>
      <c r="G32" s="1292"/>
      <c r="H32" s="1292"/>
      <c r="I32" s="1292"/>
      <c r="J32" s="1292"/>
      <c r="K32" s="1293"/>
      <c r="L32" s="1294"/>
      <c r="M32" s="1295"/>
      <c r="N32" s="776">
        <f t="array" ref="N32">SUM(($F32:$K32)*($F$11:$K$11))</f>
        <v>0</v>
      </c>
      <c r="O32" s="776">
        <f t="array" ref="O32">SUM(($L32:$L32)*($L$11:$L$11))</f>
        <v>0</v>
      </c>
      <c r="P32" s="776">
        <f t="array" ref="P32">SUM(($M32:$M32)*($M$11:$M$11))</f>
        <v>0</v>
      </c>
      <c r="Q32" s="776">
        <f t="array" ref="Q32">IF(SUM(($F32:$K32)*($F$11:$K$11))&gt;0,100,0)</f>
        <v>0</v>
      </c>
      <c r="R32" s="584">
        <f t="array" ref="R32">IF(SUM(($L32:$L32)*($L$11:$L$11))&gt;0,100,0)</f>
        <v>0</v>
      </c>
      <c r="S32" s="431">
        <f t="array" ref="S32">IF(SUM(($M32:$M32)*($M$11:$M$11))&gt;0,100,0)</f>
        <v>0</v>
      </c>
    </row>
    <row r="33" spans="1:23" x14ac:dyDescent="0.2">
      <c r="A33" s="551" t="str">
        <f>IF(LEN(КАФЕДРА!A33)&gt;2,КАФЕДРА!A33,"")</f>
        <v>Ультразвуковой и функциональной диагностики с курсом ДПО</v>
      </c>
      <c r="B33" s="442" t="str">
        <f>КАФЕДРА!$D33</f>
        <v>КМЕДИЦИНЫ</v>
      </c>
      <c r="C33" s="201">
        <f t="shared" si="1"/>
        <v>0</v>
      </c>
      <c r="D33" s="206">
        <f t="array" ref="D33">IF(SUM(($F33:$K33)*($F$11:$K$11))&gt;0,1,0)+IF(SUM(($L33:$L33)*($L$11:$L$11))&gt;0,1,0)+IF(SUM(($M33:$M33)*($M$11:$M$11))&gt;0,1,0)</f>
        <v>0</v>
      </c>
      <c r="E33" s="1290">
        <f t="array" ref="E33">SUM(($F33:$M33)*($F$11:$M$11))</f>
        <v>0</v>
      </c>
      <c r="F33" s="1291"/>
      <c r="G33" s="1292"/>
      <c r="H33" s="1292"/>
      <c r="I33" s="1292"/>
      <c r="J33" s="1292"/>
      <c r="K33" s="1293"/>
      <c r="L33" s="1294"/>
      <c r="M33" s="1295"/>
      <c r="N33" s="776">
        <f t="array" ref="N33">SUM(($F33:$K33)*($F$11:$K$11))</f>
        <v>0</v>
      </c>
      <c r="O33" s="776">
        <f t="array" ref="O33">SUM(($L33:$L33)*($L$11:$L$11))</f>
        <v>0</v>
      </c>
      <c r="P33" s="776">
        <f t="array" ref="P33">SUM(($M33:$M33)*($M$11:$M$11))</f>
        <v>0</v>
      </c>
      <c r="Q33" s="776">
        <f t="array" ref="Q33">IF(SUM(($F33:$K33)*($F$11:$K$11))&gt;0,100,0)</f>
        <v>0</v>
      </c>
      <c r="R33" s="584">
        <f t="array" ref="R33">IF(SUM(($L33:$L33)*($L$11:$L$11))&gt;0,100,0)</f>
        <v>0</v>
      </c>
      <c r="S33" s="431">
        <f t="array" ref="S33">IF(SUM(($M33:$M33)*($M$11:$M$11))&gt;0,100,0)</f>
        <v>0</v>
      </c>
    </row>
    <row r="34" spans="1:23" x14ac:dyDescent="0.2">
      <c r="A34" s="551" t="str">
        <f>IF(LEN(КАФЕДРА!A34)&gt;2,КАФЕДРА!A34,"")</f>
        <v>Урологии и андрологии с курсом ДПО</v>
      </c>
      <c r="B34" s="442" t="str">
        <f>КАФЕДРА!$D34</f>
        <v>КМЕДИЦИНЫ</v>
      </c>
      <c r="C34" s="201">
        <f t="shared" si="1"/>
        <v>0</v>
      </c>
      <c r="D34" s="206">
        <f t="array" ref="D34">IF(SUM(($F34:$K34)*($F$11:$K$11))&gt;0,1,0)+IF(SUM(($L34:$L34)*($L$11:$L$11))&gt;0,1,0)+IF(SUM(($M34:$M34)*($M$11:$M$11))&gt;0,1,0)</f>
        <v>0</v>
      </c>
      <c r="E34" s="1290">
        <f t="array" ref="E34">SUM(($F34:$M34)*($F$11:$M$11))</f>
        <v>0</v>
      </c>
      <c r="F34" s="1291"/>
      <c r="G34" s="1292"/>
      <c r="H34" s="1292"/>
      <c r="I34" s="1292"/>
      <c r="J34" s="1292"/>
      <c r="K34" s="1293"/>
      <c r="L34" s="1294"/>
      <c r="M34" s="1295"/>
      <c r="N34" s="776">
        <f t="array" ref="N34">SUM(($F34:$K34)*($F$11:$K$11))</f>
        <v>0</v>
      </c>
      <c r="O34" s="776">
        <f t="array" ref="O34">SUM(($L34:$L34)*($L$11:$L$11))</f>
        <v>0</v>
      </c>
      <c r="P34" s="776">
        <f t="array" ref="P34">SUM(($M34:$M34)*($M$11:$M$11))</f>
        <v>0</v>
      </c>
      <c r="Q34" s="776">
        <f t="array" ref="Q34">IF(SUM(($F34:$K34)*($F$11:$K$11))&gt;0,100,0)</f>
        <v>0</v>
      </c>
      <c r="R34" s="584">
        <f t="array" ref="R34">IF(SUM(($L34:$L34)*($L$11:$L$11))&gt;0,100,0)</f>
        <v>0</v>
      </c>
      <c r="S34" s="431">
        <f t="array" ref="S34">IF(SUM(($M34:$M34)*($M$11:$M$11))&gt;0,100,0)</f>
        <v>0</v>
      </c>
    </row>
    <row r="35" spans="1:23" x14ac:dyDescent="0.2">
      <c r="A35" s="551" t="str">
        <f>IF(LEN(КАФЕДРА!A35)&gt;2,КАФЕДРА!A35,"")</f>
        <v>Факультетской терапии и профессиональных болезней</v>
      </c>
      <c r="B35" s="442" t="str">
        <f>КАФЕДРА!$D35</f>
        <v>КМЕДИЦИНЫ</v>
      </c>
      <c r="C35" s="201">
        <f t="shared" si="1"/>
        <v>0</v>
      </c>
      <c r="D35" s="206">
        <f t="array" ref="D35">IF(SUM(($F35:$K35)*($F$11:$K$11))&gt;0,1,0)+IF(SUM(($L35:$L35)*($L$11:$L$11))&gt;0,1,0)+IF(SUM(($M35:$M35)*($M$11:$M$11))&gt;0,1,0)</f>
        <v>0</v>
      </c>
      <c r="E35" s="1290">
        <f t="array" ref="E35">SUM(($F35:$M35)*($F$11:$M$11))</f>
        <v>0</v>
      </c>
      <c r="F35" s="1291"/>
      <c r="G35" s="1292"/>
      <c r="H35" s="1292"/>
      <c r="I35" s="1292"/>
      <c r="J35" s="1292"/>
      <c r="K35" s="1293"/>
      <c r="L35" s="1294"/>
      <c r="M35" s="1295"/>
      <c r="N35" s="776">
        <f t="array" ref="N35">SUM(($F35:$K35)*($F$11:$K$11))</f>
        <v>0</v>
      </c>
      <c r="O35" s="776">
        <f t="array" ref="O35">SUM(($L35:$L35)*($L$11:$L$11))</f>
        <v>0</v>
      </c>
      <c r="P35" s="776">
        <f t="array" ref="P35">SUM(($M35:$M35)*($M$11:$M$11))</f>
        <v>0</v>
      </c>
      <c r="Q35" s="776">
        <f t="array" ref="Q35">IF(SUM(($F35:$K35)*($F$11:$K$11))&gt;0,100,0)</f>
        <v>0</v>
      </c>
      <c r="R35" s="584">
        <f t="array" ref="R35">IF(SUM(($L35:$L35)*($L$11:$L$11))&gt;0,100,0)</f>
        <v>0</v>
      </c>
      <c r="S35" s="431">
        <f t="array" ref="S35">IF(SUM(($M35:$M35)*($M$11:$M$11))&gt;0,100,0)</f>
        <v>0</v>
      </c>
    </row>
    <row r="36" spans="1:23" ht="15" thickBot="1" x14ac:dyDescent="0.25">
      <c r="A36" s="578" t="str">
        <f>IF(LEN(КАФЕДРА!A36)&gt;2,КАФЕДРА!A36,"")</f>
        <v>Факультетской хирургии имени профессора И.И. Неймарка с курсом ДПО</v>
      </c>
      <c r="B36" s="727" t="str">
        <f>КАФЕДРА!$D36</f>
        <v>КМЕДИЦИНЫ</v>
      </c>
      <c r="C36" s="585">
        <f t="shared" si="1"/>
        <v>0</v>
      </c>
      <c r="D36" s="586">
        <f t="array" ref="D36">IF(SUM(($F36:$K36)*($F$11:$K$11))&gt;0,1,0)+IF(SUM(($L36:$L36)*($L$11:$L$11))&gt;0,1,0)+IF(SUM(($M36:$M36)*($M$11:$M$11))&gt;0,1,0)</f>
        <v>0</v>
      </c>
      <c r="E36" s="1296">
        <f t="array" ref="E36">SUM(($F36:$M36)*($F$11:$M$11))</f>
        <v>0</v>
      </c>
      <c r="F36" s="1297"/>
      <c r="G36" s="1298"/>
      <c r="H36" s="1298"/>
      <c r="I36" s="1298"/>
      <c r="J36" s="1298"/>
      <c r="K36" s="1299"/>
      <c r="L36" s="1300"/>
      <c r="M36" s="1301"/>
      <c r="N36" s="779">
        <f t="array" ref="N36">SUM(($F36:$K36)*($F$11:$K$11))</f>
        <v>0</v>
      </c>
      <c r="O36" s="779">
        <f t="array" ref="O36">SUM(($L36:$L36)*($L$11:$L$11))</f>
        <v>0</v>
      </c>
      <c r="P36" s="779">
        <f t="array" ref="P36">SUM(($M36:$M36)*($M$11:$M$11))</f>
        <v>0</v>
      </c>
      <c r="Q36" s="779">
        <f t="array" ref="Q36">IF(SUM(($F36:$K36)*($F$11:$K$11))&gt;0,100,0)</f>
        <v>0</v>
      </c>
      <c r="R36" s="585">
        <f t="array" ref="R36">IF(SUM(($L36:$L36)*($L$11:$L$11))&gt;0,100,0)</f>
        <v>0</v>
      </c>
      <c r="S36" s="1302">
        <f t="array" ref="S36">IF(SUM(($M36:$M36)*($M$11:$M$11))&gt;0,100,0)</f>
        <v>0</v>
      </c>
    </row>
    <row r="37" spans="1:23" x14ac:dyDescent="0.2">
      <c r="A37" s="552" t="str">
        <f>IF(LEN(КАФЕДРА!A37)&gt;2,КАФЕДРА!A37,"")</f>
        <v>Госпитальной педиатрии с курсом ДПО</v>
      </c>
      <c r="B37" s="785" t="str">
        <f>КАФЕДРА!$D37</f>
        <v>ПЕДИАТРИИ</v>
      </c>
      <c r="C37" s="584">
        <f t="shared" si="1"/>
        <v>0</v>
      </c>
      <c r="D37" s="206">
        <f t="array" ref="D37">IF(SUM(($F37:$K37)*($F$11:$K$11))&gt;0,1,0)+IF(SUM(($L37:$L37)*($L$11:$L$11))&gt;0,1,0)+IF(SUM(($M37:$M37)*($M$11:$M$11))&gt;0,1,0)</f>
        <v>0</v>
      </c>
      <c r="E37" s="1290">
        <f t="array" ref="E37">SUM(($F37:$M37)*($F$11:$M$11))</f>
        <v>0</v>
      </c>
      <c r="F37" s="1303"/>
      <c r="G37" s="1304"/>
      <c r="H37" s="1304"/>
      <c r="I37" s="1304"/>
      <c r="J37" s="1304"/>
      <c r="K37" s="1305"/>
      <c r="L37" s="1306"/>
      <c r="M37" s="1307"/>
      <c r="N37" s="776">
        <f t="array" ref="N37">SUM(($F37:$K37)*($F$11:$K$11))</f>
        <v>0</v>
      </c>
      <c r="O37" s="776">
        <f t="array" ref="O37">SUM(($L37:$L37)*($L$11:$L$11))</f>
        <v>0</v>
      </c>
      <c r="P37" s="776">
        <f t="array" ref="P37">SUM(($M37:$M37)*($M$11:$M$11))</f>
        <v>0</v>
      </c>
      <c r="Q37" s="776">
        <f t="array" ref="Q37">IF(SUM(($F37:$K37)*($F$11:$K$11))&gt;0,100,0)</f>
        <v>0</v>
      </c>
      <c r="R37" s="584">
        <f t="array" ref="R37">IF(SUM(($L37:$L37)*($L$11:$L$11))&gt;0,100,0)</f>
        <v>0</v>
      </c>
      <c r="S37" s="431">
        <f t="array" ref="S37">IF(SUM(($M37:$M37)*($M$11:$M$11))&gt;0,100,0)</f>
        <v>0</v>
      </c>
      <c r="T37" s="767"/>
    </row>
    <row r="38" spans="1:23" x14ac:dyDescent="0.2">
      <c r="A38" s="551" t="str">
        <f>IF(LEN(КАФЕДРА!A38)&gt;2,КАФЕДРА!A38,"")</f>
        <v>Лучевой диагностики и эндоскопии с курсом ДПО</v>
      </c>
      <c r="B38" s="786" t="str">
        <f>КАФЕДРА!$D38</f>
        <v>ПЕДИАТРИИ</v>
      </c>
      <c r="C38" s="201">
        <f t="shared" si="1"/>
        <v>0</v>
      </c>
      <c r="D38" s="206">
        <f t="array" ref="D38">IF(SUM(($F38:$K38)*($F$11:$K$11))&gt;0,1,0)+IF(SUM(($L38:$L38)*($L$11:$L$11))&gt;0,1,0)+IF(SUM(($M38:$M38)*($M$11:$M$11))&gt;0,1,0)</f>
        <v>0</v>
      </c>
      <c r="E38" s="1290">
        <f t="array" ref="E38">SUM(($F38:$M38)*($F$11:$M$11))</f>
        <v>0</v>
      </c>
      <c r="F38" s="1291"/>
      <c r="G38" s="1292"/>
      <c r="H38" s="1292"/>
      <c r="I38" s="1292"/>
      <c r="J38" s="1292"/>
      <c r="K38" s="1293"/>
      <c r="L38" s="1294"/>
      <c r="M38" s="1295"/>
      <c r="N38" s="776">
        <f t="array" ref="N38">SUM(($F38:$K38)*($F$11:$K$11))</f>
        <v>0</v>
      </c>
      <c r="O38" s="776">
        <f t="array" ref="O38">SUM(($L38:$L38)*($L$11:$L$11))</f>
        <v>0</v>
      </c>
      <c r="P38" s="776">
        <f t="array" ref="P38">SUM(($M38:$M38)*($M$11:$M$11))</f>
        <v>0</v>
      </c>
      <c r="Q38" s="776">
        <f t="array" ref="Q38">IF(SUM(($F38:$K38)*($F$11:$K$11))&gt;0,100,0)</f>
        <v>0</v>
      </c>
      <c r="R38" s="584">
        <f t="array" ref="R38">IF(SUM(($L38:$L38)*($L$11:$L$11))&gt;0,100,0)</f>
        <v>0</v>
      </c>
      <c r="S38" s="431">
        <f t="array" ref="S38">IF(SUM(($M38:$M38)*($M$11:$M$11))&gt;0,100,0)</f>
        <v>0</v>
      </c>
    </row>
    <row r="39" spans="1:23" x14ac:dyDescent="0.2">
      <c r="A39" s="551" t="str">
        <f>IF(LEN(КАФЕДРА!A39)&gt;2,КАФЕДРА!A39,"")</f>
        <v>Неонатологии и детской анестезиологии с курсом ДПО</v>
      </c>
      <c r="B39" s="786" t="str">
        <f>КАФЕДРА!$D39</f>
        <v>ПЕДИАТРИИ</v>
      </c>
      <c r="C39" s="201">
        <f t="shared" si="1"/>
        <v>0</v>
      </c>
      <c r="D39" s="206">
        <f t="array" ref="D39">IF(SUM(($F39:$K39)*($F$11:$K$11))&gt;0,1,0)+IF(SUM(($L39:$L39)*($L$11:$L$11))&gt;0,1,0)+IF(SUM(($M39:$M39)*($M$11:$M$11))&gt;0,1,0)</f>
        <v>0</v>
      </c>
      <c r="E39" s="1308">
        <f t="array" ref="E39">SUM(($F39:$M39)*($F$11:$M$11))</f>
        <v>0</v>
      </c>
      <c r="F39" s="1291"/>
      <c r="G39" s="1292"/>
      <c r="H39" s="1292"/>
      <c r="I39" s="1292"/>
      <c r="J39" s="1292"/>
      <c r="K39" s="1293"/>
      <c r="L39" s="1294"/>
      <c r="M39" s="1295"/>
      <c r="N39" s="776">
        <f t="array" ref="N39">SUM(($F39:$K39)*($F$11:$K$11))</f>
        <v>0</v>
      </c>
      <c r="O39" s="776">
        <f t="array" ref="O39">SUM(($L39:$L39)*($L$11:$L$11))</f>
        <v>0</v>
      </c>
      <c r="P39" s="776">
        <f t="array" ref="P39">SUM(($M39:$M39)*($M$11:$M$11))</f>
        <v>0</v>
      </c>
      <c r="Q39" s="776">
        <f t="array" ref="Q39">IF(SUM(($F39:$K39)*($F$11:$K$11))&gt;0,100,0)</f>
        <v>0</v>
      </c>
      <c r="R39" s="584">
        <f t="array" ref="R39">IF(SUM(($L39:$L39)*($L$11:$L$11))&gt;0,100,0)</f>
        <v>0</v>
      </c>
      <c r="S39" s="431">
        <f t="array" ref="S39">IF(SUM(($M39:$M39)*($M$11:$M$11))&gt;0,100,0)</f>
        <v>0</v>
      </c>
    </row>
    <row r="40" spans="1:23" x14ac:dyDescent="0.2">
      <c r="A40" s="551" t="str">
        <f>IF(LEN(КАФЕДРА!A40)&gt;2,КАФЕДРА!A40,"")</f>
        <v>Онкологии, лучевой терапии с курсом ДПО</v>
      </c>
      <c r="B40" s="786" t="str">
        <f>КАФЕДРА!$D40</f>
        <v>ПЕДИАТРИИ</v>
      </c>
      <c r="C40" s="201">
        <f t="shared" si="1"/>
        <v>0</v>
      </c>
      <c r="D40" s="206">
        <f t="array" ref="D40">IF(SUM(($F40:$K40)*($F$11:$K$11))&gt;0,1,0)+IF(SUM(($L40:$L40)*($L$11:$L$11))&gt;0,1,0)+IF(SUM(($M40:$M40)*($M$11:$M$11))&gt;0,1,0)</f>
        <v>0</v>
      </c>
      <c r="E40" s="1290">
        <f t="array" ref="E40">SUM(($F40:$M40)*($F$11:$M$11))</f>
        <v>0</v>
      </c>
      <c r="F40" s="1291"/>
      <c r="G40" s="1292"/>
      <c r="H40" s="1292"/>
      <c r="I40" s="1292"/>
      <c r="J40" s="1292"/>
      <c r="K40" s="1293"/>
      <c r="L40" s="1294"/>
      <c r="M40" s="1295"/>
      <c r="N40" s="776">
        <f t="array" ref="N40">SUM(($F40:$K40)*($F$11:$K$11))</f>
        <v>0</v>
      </c>
      <c r="O40" s="776">
        <f t="array" ref="O40">SUM(($L40:$L40)*($L$11:$L$11))</f>
        <v>0</v>
      </c>
      <c r="P40" s="776">
        <f t="array" ref="P40">SUM(($M40:$M40)*($M$11:$M$11))</f>
        <v>0</v>
      </c>
      <c r="Q40" s="776">
        <f t="array" ref="Q40">IF(SUM(($F40:$K40)*($F$11:$K$11))&gt;0,100,0)</f>
        <v>0</v>
      </c>
      <c r="R40" s="584">
        <f t="array" ref="R40">IF(SUM(($L40:$L40)*($L$11:$L$11))&gt;0,100,0)</f>
        <v>0</v>
      </c>
      <c r="S40" s="431">
        <f t="array" ref="S40">IF(SUM(($M40:$M40)*($M$11:$M$11))&gt;0,100,0)</f>
        <v>0</v>
      </c>
    </row>
    <row r="41" spans="1:23" x14ac:dyDescent="0.2">
      <c r="A41" s="551" t="str">
        <f>IF(LEN(КАФЕДРА!A41)&gt;2,КАФЕДРА!A41,"")</f>
        <v>Офтальмологии с курсом ДПО</v>
      </c>
      <c r="B41" s="786" t="str">
        <f>КАФЕДРА!$D41</f>
        <v>ПЕДИАТРИИ</v>
      </c>
      <c r="C41" s="201">
        <f t="shared" si="1"/>
        <v>0</v>
      </c>
      <c r="D41" s="206">
        <f t="array" ref="D41">IF(SUM(($F41:$K41)*($F$11:$K$11))&gt;0,1,0)+IF(SUM(($L41:$L41)*($L$11:$L$11))&gt;0,1,0)+IF(SUM(($M41:$M41)*($M$11:$M$11))&gt;0,1,0)</f>
        <v>0</v>
      </c>
      <c r="E41" s="1290">
        <f t="array" ref="E41">SUM(($F41:$M41)*($F$11:$M$11))</f>
        <v>0</v>
      </c>
      <c r="F41" s="1291"/>
      <c r="G41" s="1292"/>
      <c r="H41" s="1292"/>
      <c r="I41" s="1292"/>
      <c r="J41" s="1292"/>
      <c r="K41" s="1293"/>
      <c r="L41" s="1294"/>
      <c r="M41" s="1295"/>
      <c r="N41" s="776">
        <f t="array" ref="N41">SUM(($F41:$K41)*($F$11:$K$11))</f>
        <v>0</v>
      </c>
      <c r="O41" s="776">
        <f t="array" ref="O41">SUM(($L41:$L41)*($L$11:$L$11))</f>
        <v>0</v>
      </c>
      <c r="P41" s="776">
        <f t="array" ref="P41">SUM(($M41:$M41)*($M$11:$M$11))</f>
        <v>0</v>
      </c>
      <c r="Q41" s="776">
        <f t="array" ref="Q41">IF(SUM(($F41:$K41)*($F$11:$K$11))&gt;0,100,0)</f>
        <v>0</v>
      </c>
      <c r="R41" s="584">
        <f t="array" ref="R41">IF(SUM(($L41:$L41)*($L$11:$L$11))&gt;0,100,0)</f>
        <v>0</v>
      </c>
      <c r="S41" s="431">
        <f t="array" ref="S41">IF(SUM(($M41:$M41)*($M$11:$M$11))&gt;0,100,0)</f>
        <v>0</v>
      </c>
    </row>
    <row r="42" spans="1:23" x14ac:dyDescent="0.2">
      <c r="A42" s="551" t="str">
        <f>IF(LEN(КАФЕДРА!A42)&gt;2,КАФЕДРА!A42,"")</f>
        <v>Патологической физиологии</v>
      </c>
      <c r="B42" s="786" t="str">
        <f>КАФЕДРА!$D42</f>
        <v>ПЕДИАТРИИ</v>
      </c>
      <c r="C42" s="201">
        <f t="shared" si="1"/>
        <v>0</v>
      </c>
      <c r="D42" s="206">
        <f t="array" ref="D42">IF(SUM(($F42:$K42)*($F$11:$K$11))&gt;0,1,0)+IF(SUM(($L42:$L42)*($L$11:$L$11))&gt;0,1,0)+IF(SUM(($M42:$M42)*($M$11:$M$11))&gt;0,1,0)</f>
        <v>0</v>
      </c>
      <c r="E42" s="1290">
        <f t="array" ref="E42">SUM(($F42:$M42)*($F$11:$M$11))</f>
        <v>0</v>
      </c>
      <c r="F42" s="1291"/>
      <c r="G42" s="1292"/>
      <c r="H42" s="1292"/>
      <c r="I42" s="1292"/>
      <c r="J42" s="1292"/>
      <c r="K42" s="1293"/>
      <c r="L42" s="1294"/>
      <c r="M42" s="1295"/>
      <c r="N42" s="776">
        <f t="array" ref="N42">SUM(($F42:$K42)*($F$11:$K$11))</f>
        <v>0</v>
      </c>
      <c r="O42" s="776">
        <f t="array" ref="O42">SUM(($L42:$L42)*($L$11:$L$11))</f>
        <v>0</v>
      </c>
      <c r="P42" s="776">
        <f t="array" ref="P42">SUM(($M42:$M42)*($M$11:$M$11))</f>
        <v>0</v>
      </c>
      <c r="Q42" s="776">
        <f t="array" ref="Q42">IF(SUM(($F42:$K42)*($F$11:$K$11))&gt;0,100,0)</f>
        <v>0</v>
      </c>
      <c r="R42" s="584">
        <f t="array" ref="R42">IF(SUM(($L42:$L42)*($L$11:$L$11))&gt;0,100,0)</f>
        <v>0</v>
      </c>
      <c r="S42" s="431">
        <f t="array" ref="S42">IF(SUM(($M42:$M42)*($M$11:$M$11))&gt;0,100,0)</f>
        <v>0</v>
      </c>
    </row>
    <row r="43" spans="1:23" x14ac:dyDescent="0.2">
      <c r="A43" s="551" t="str">
        <f>IF(LEN(КАФЕДРА!A43)&gt;2,КАФЕДРА!A43,"")</f>
        <v>Пропедевтики детских болезней</v>
      </c>
      <c r="B43" s="786" t="str">
        <f>КАФЕДРА!$D43</f>
        <v>ПЕДИАТРИИ</v>
      </c>
      <c r="C43" s="201">
        <f t="shared" si="1"/>
        <v>0</v>
      </c>
      <c r="D43" s="206">
        <f t="array" ref="D43">IF(SUM(($F43:$K43)*($F$11:$K$11))&gt;0,1,0)+IF(SUM(($L43:$L43)*($L$11:$L$11))&gt;0,1,0)+IF(SUM(($M43:$M43)*($M$11:$M$11))&gt;0,1,0)</f>
        <v>0</v>
      </c>
      <c r="E43" s="1290">
        <f t="array" ref="E43">SUM(($F43:$M43)*($F$11:$M$11))</f>
        <v>0</v>
      </c>
      <c r="F43" s="1291"/>
      <c r="G43" s="1292"/>
      <c r="H43" s="1292"/>
      <c r="I43" s="1292"/>
      <c r="J43" s="1292"/>
      <c r="K43" s="1293"/>
      <c r="L43" s="1294"/>
      <c r="M43" s="1295"/>
      <c r="N43" s="776">
        <f t="array" ref="N43">SUM(($F43:$K43)*($F$11:$K$11))</f>
        <v>0</v>
      </c>
      <c r="O43" s="776">
        <f t="array" ref="O43">SUM(($L43:$L43)*($L$11:$L$11))</f>
        <v>0</v>
      </c>
      <c r="P43" s="776">
        <f t="array" ref="P43">SUM(($M43:$M43)*($M$11:$M$11))</f>
        <v>0</v>
      </c>
      <c r="Q43" s="776">
        <f t="array" ref="Q43">IF(SUM(($F43:$K43)*($F$11:$K$11))&gt;0,100,0)</f>
        <v>0</v>
      </c>
      <c r="R43" s="584">
        <f t="array" ref="R43">IF(SUM(($L43:$L43)*($L$11:$L$11))&gt;0,100,0)</f>
        <v>0</v>
      </c>
      <c r="S43" s="431">
        <f t="array" ref="S43">IF(SUM(($M43:$M43)*($M$11:$M$11))&gt;0,100,0)</f>
        <v>0</v>
      </c>
    </row>
    <row r="44" spans="1:23" x14ac:dyDescent="0.2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786" t="str">
        <f>КАФЕДРА!$D44</f>
        <v>ПЕДИАТРИИ</v>
      </c>
      <c r="C44" s="201">
        <f t="shared" si="1"/>
        <v>0</v>
      </c>
      <c r="D44" s="206">
        <f t="array" ref="D44">IF(SUM(($F44:$K44)*($F$11:$K$11))&gt;0,1,0)+IF(SUM(($L44:$L44)*($L$11:$L$11))&gt;0,1,0)+IF(SUM(($M44:$M44)*($M$11:$M$11))&gt;0,1,0)</f>
        <v>0</v>
      </c>
      <c r="E44" s="1290">
        <f t="array" ref="E44">SUM(($F44:$M44)*($F$11:$M$11))</f>
        <v>0</v>
      </c>
      <c r="F44" s="1291"/>
      <c r="G44" s="1292"/>
      <c r="H44" s="1292"/>
      <c r="I44" s="1292"/>
      <c r="J44" s="1292"/>
      <c r="K44" s="1293"/>
      <c r="L44" s="1294"/>
      <c r="M44" s="1295"/>
      <c r="N44" s="776">
        <f t="array" ref="N44">SUM(($F44:$K44)*($F$11:$K$11))</f>
        <v>0</v>
      </c>
      <c r="O44" s="776">
        <f t="array" ref="O44">SUM(($L44:$L44)*($L$11:$L$11))</f>
        <v>0</v>
      </c>
      <c r="P44" s="776">
        <f t="array" ref="P44">SUM(($M44:$M44)*($M$11:$M$11))</f>
        <v>0</v>
      </c>
      <c r="Q44" s="776">
        <f t="array" ref="Q44">IF(SUM(($F44:$K44)*($F$11:$K$11))&gt;0,100,0)</f>
        <v>0</v>
      </c>
      <c r="R44" s="584">
        <f t="array" ref="R44">IF(SUM(($L44:$L44)*($L$11:$L$11))&gt;0,100,0)</f>
        <v>0</v>
      </c>
      <c r="S44" s="431">
        <f t="array" ref="S44">IF(SUM(($M44:$M44)*($M$11:$M$11))&gt;0,100,0)</f>
        <v>0</v>
      </c>
    </row>
    <row r="45" spans="1:23" x14ac:dyDescent="0.2">
      <c r="A45" s="551" t="str">
        <f>IF(LEN(КАФЕДРА!A45)&gt;2,КАФЕДРА!A45,"")</f>
        <v>Факультетской педиатрии</v>
      </c>
      <c r="B45" s="786" t="str">
        <f>КАФЕДРА!$D45</f>
        <v>ПЕДИАТРИИ</v>
      </c>
      <c r="C45" s="201">
        <f t="shared" si="1"/>
        <v>0</v>
      </c>
      <c r="D45" s="206">
        <f t="array" ref="D45">IF(SUM(($F45:$K45)*($F$11:$K$11))&gt;0,1,0)+IF(SUM(($L45:$L45)*($L$11:$L$11))&gt;0,1,0)+IF(SUM(($M45:$M45)*($M$11:$M$11))&gt;0,1,0)</f>
        <v>0</v>
      </c>
      <c r="E45" s="1290">
        <f t="array" ref="E45">SUM(($F45:$M45)*($F$11:$M$11))</f>
        <v>0</v>
      </c>
      <c r="F45" s="1291"/>
      <c r="G45" s="1292"/>
      <c r="H45" s="1292"/>
      <c r="I45" s="1292"/>
      <c r="J45" s="1292"/>
      <c r="K45" s="1293"/>
      <c r="L45" s="1294"/>
      <c r="M45" s="1295"/>
      <c r="N45" s="776">
        <f t="array" ref="N45">SUM(($F45:$K45)*($F$11:$K$11))</f>
        <v>0</v>
      </c>
      <c r="O45" s="776">
        <f t="array" ref="O45">SUM(($L45:$L45)*($L$11:$L$11))</f>
        <v>0</v>
      </c>
      <c r="P45" s="776">
        <f t="array" ref="P45">SUM(($M45:$M45)*($M$11:$M$11))</f>
        <v>0</v>
      </c>
      <c r="Q45" s="776">
        <f t="array" ref="Q45">IF(SUM(($F45:$K45)*($F$11:$K$11))&gt;0,100,0)</f>
        <v>0</v>
      </c>
      <c r="R45" s="584">
        <f t="array" ref="R45">IF(SUM(($L45:$L45)*($L$11:$L$11))&gt;0,100,0)</f>
        <v>0</v>
      </c>
      <c r="S45" s="431">
        <f t="array" ref="S45">IF(SUM(($M45:$M45)*($M$11:$M$11))&gt;0,100,0)</f>
        <v>0</v>
      </c>
    </row>
    <row r="46" spans="1:23" ht="14.25" customHeight="1" x14ac:dyDescent="0.2">
      <c r="A46" s="551" t="str">
        <f>IF(LEN(КАФЕДРА!A46)&gt;2,КАФЕДРА!A46,"")</f>
        <v>Хирургических болезней детского возраста</v>
      </c>
      <c r="B46" s="786" t="str">
        <f>КАФЕДРА!$D46</f>
        <v>ПЕДИАТРИИ</v>
      </c>
      <c r="C46" s="201">
        <f t="shared" si="1"/>
        <v>0</v>
      </c>
      <c r="D46" s="742">
        <f t="array" ref="D46">IF(SUM(($F46:$K46)*($F$11:$K$11))&gt;0,1,0)+IF(SUM(($L46:$L46)*($L$11:$L$11))&gt;0,1,0)+IF(SUM(($M46:$M46)*($M$11:$M$11))&gt;0,1,0)</f>
        <v>0</v>
      </c>
      <c r="E46" s="1308">
        <f t="array" ref="E46">SUM(($F46:$M46)*($F$11:$M$11))</f>
        <v>0</v>
      </c>
      <c r="F46" s="1291"/>
      <c r="G46" s="1292"/>
      <c r="H46" s="1292"/>
      <c r="I46" s="1292"/>
      <c r="J46" s="1292"/>
      <c r="K46" s="1293"/>
      <c r="L46" s="1294"/>
      <c r="M46" s="1295"/>
      <c r="N46" s="399">
        <f t="array" ref="N46">SUM(($F46:$K46)*($F$11:$K$11))</f>
        <v>0</v>
      </c>
      <c r="O46" s="399">
        <f t="array" ref="O46">SUM(($L46:$L46)*($L$11:$L$11))</f>
        <v>0</v>
      </c>
      <c r="P46" s="399">
        <f t="array" ref="P46">SUM(($M46:$M46)*($M$11:$M$11))</f>
        <v>0</v>
      </c>
      <c r="Q46" s="399">
        <f t="array" ref="Q46">IF(SUM(($F46:$K46)*($F$11:$K$11))&gt;0,100,0)</f>
        <v>0</v>
      </c>
      <c r="R46" s="201">
        <f t="array" ref="R46">IF(SUM(($L46:$L46)*($L$11:$L$11))&gt;0,100,0)</f>
        <v>0</v>
      </c>
      <c r="S46" s="1309">
        <f t="array" ref="S46">IF(SUM(($M46:$M46)*($M$11:$M$11))&gt;0,100,0)</f>
        <v>0</v>
      </c>
    </row>
    <row r="47" spans="1:23" s="767" customFormat="1" ht="14.25" customHeight="1" thickBot="1" x14ac:dyDescent="0.25">
      <c r="A47" s="877" t="str">
        <f>IF(LEN(КАФЕДРА!A47)&gt;2,КАФЕДРА!A47,"")</f>
        <v>Клинической фармакологии</v>
      </c>
      <c r="B47" s="879" t="str">
        <f>КАФЕДРА!$D47</f>
        <v>ПЕДИАТРИИ</v>
      </c>
      <c r="C47" s="880">
        <f t="shared" si="1"/>
        <v>0</v>
      </c>
      <c r="D47" s="589">
        <f t="array" ref="D47">IF(SUM(($F47:$K47)*($F$11:$K$11))&gt;0,1,0)+IF(SUM(($L47:$L47)*($L$11:$L$11))&gt;0,1,0)+IF(SUM(($M47:$M47)*($M$11:$M$11))&gt;0,1,0)</f>
        <v>0</v>
      </c>
      <c r="E47" s="1310">
        <f t="array" ref="E47">SUM(($F47:$M47)*($F$11:$M$11))</f>
        <v>0</v>
      </c>
      <c r="F47" s="1311"/>
      <c r="G47" s="1312"/>
      <c r="H47" s="1312"/>
      <c r="I47" s="1312"/>
      <c r="J47" s="1312"/>
      <c r="K47" s="1313"/>
      <c r="L47" s="1314"/>
      <c r="M47" s="1315"/>
      <c r="N47" s="375">
        <f t="array" ref="N47">SUM(($F47:$K47)*($F$11:$K$11))</f>
        <v>0</v>
      </c>
      <c r="O47" s="375">
        <f t="array" ref="O47">SUM(($L47:$L47)*($L$11:$L$11))</f>
        <v>0</v>
      </c>
      <c r="P47" s="375">
        <f t="array" ref="P47">SUM(($M47:$M47)*($M$11:$M$11))</f>
        <v>0</v>
      </c>
      <c r="Q47" s="375">
        <f t="array" ref="Q47">IF(SUM(($F47:$K47)*($F$11:$K$11))&gt;0,100,0)</f>
        <v>0</v>
      </c>
      <c r="R47" s="880">
        <f t="array" ref="R47">IF(SUM(($L47:$L47)*($L$11:$L$11))&gt;0,100,0)</f>
        <v>0</v>
      </c>
      <c r="S47" s="1316">
        <f t="array" ref="S47">IF(SUM(($M47:$M47)*($M$11:$M$11))&gt;0,100,0)</f>
        <v>0</v>
      </c>
      <c r="W47" s="258"/>
    </row>
    <row r="48" spans="1:23" x14ac:dyDescent="0.2">
      <c r="A48" s="552" t="str">
        <f>IF(LEN(КАФЕДРА!A48)&gt;2,КАФЕДРА!A48,"")</f>
        <v>Ортопедической стоматологии</v>
      </c>
      <c r="B48" s="788" t="str">
        <f>КАФЕДРА!$D48</f>
        <v>СТОМ</v>
      </c>
      <c r="C48" s="584">
        <f t="shared" si="1"/>
        <v>0</v>
      </c>
      <c r="D48" s="206">
        <f t="array" ref="D48">IF(SUM(($F48:$K48)*($F$11:$K$11))&gt;0,1,0)+IF(SUM(($L48:$L48)*($L$11:$L$11))&gt;0,1,0)+IF(SUM(($M48:$M48)*($M$11:$M$11))&gt;0,1,0)</f>
        <v>0</v>
      </c>
      <c r="E48" s="1290">
        <f t="array" ref="E48">SUM(($F48:$M48)*($F$11:$M$11))</f>
        <v>0</v>
      </c>
      <c r="F48" s="1303"/>
      <c r="G48" s="1304"/>
      <c r="H48" s="1304"/>
      <c r="I48" s="1304"/>
      <c r="J48" s="1304"/>
      <c r="K48" s="1305"/>
      <c r="L48" s="1306"/>
      <c r="M48" s="1307"/>
      <c r="N48" s="776">
        <f t="array" ref="N48">SUM(($F48:$K48)*($F$11:$K$11))</f>
        <v>0</v>
      </c>
      <c r="O48" s="776">
        <f t="array" ref="O48">SUM(($L48:$L48)*($L$11:$L$11))</f>
        <v>0</v>
      </c>
      <c r="P48" s="776">
        <f t="array" ref="P48">SUM(($M48:$M48)*($M$11:$M$11))</f>
        <v>0</v>
      </c>
      <c r="Q48" s="776">
        <f t="array" ref="Q48">IF(SUM(($F48:$K48)*($F$11:$K$11))&gt;0,100,0)</f>
        <v>0</v>
      </c>
      <c r="R48" s="584">
        <f t="array" ref="R48">IF(SUM(($L48:$L48)*($L$11:$L$11))&gt;0,100,0)</f>
        <v>0</v>
      </c>
      <c r="S48" s="431">
        <f t="array" ref="S48">IF(SUM(($M48:$M48)*($M$11:$M$11))&gt;0,100,0)</f>
        <v>0</v>
      </c>
    </row>
    <row r="49" spans="1:19" x14ac:dyDescent="0.2">
      <c r="A49" s="551" t="str">
        <f>IF(LEN(КАФЕДРА!A49)&gt;2,КАФЕДРА!A49,"")</f>
        <v>Стоматологии детского возраста</v>
      </c>
      <c r="B49" s="789" t="str">
        <f>КАФЕДРА!$D49</f>
        <v>СТОМ</v>
      </c>
      <c r="C49" s="201">
        <f t="shared" si="1"/>
        <v>0</v>
      </c>
      <c r="D49" s="206">
        <f t="array" ref="D49">IF(SUM(($F49:$K49)*($F$11:$K$11))&gt;0,1,0)+IF(SUM(($L49:$L49)*($L$11:$L$11))&gt;0,1,0)+IF(SUM(($M49:$M49)*($M$11:$M$11))&gt;0,1,0)</f>
        <v>0</v>
      </c>
      <c r="E49" s="1290">
        <f t="array" ref="E49">SUM(($F49:$M49)*($F$11:$M$11))</f>
        <v>0</v>
      </c>
      <c r="F49" s="1291"/>
      <c r="G49" s="1292"/>
      <c r="H49" s="1292"/>
      <c r="I49" s="1292"/>
      <c r="J49" s="1292"/>
      <c r="K49" s="1293"/>
      <c r="L49" s="1294"/>
      <c r="M49" s="1295"/>
      <c r="N49" s="776">
        <f t="array" ref="N49">SUM(($F49:$K49)*($F$11:$K$11))</f>
        <v>0</v>
      </c>
      <c r="O49" s="776">
        <f t="array" ref="O49">SUM(($L49:$L49)*($L$11:$L$11))</f>
        <v>0</v>
      </c>
      <c r="P49" s="776">
        <f t="array" ref="P49">SUM(($M49:$M49)*($M$11:$M$11))</f>
        <v>0</v>
      </c>
      <c r="Q49" s="776">
        <f t="array" ref="Q49">IF(SUM(($F49:$K49)*($F$11:$K$11))&gt;0,100,0)</f>
        <v>0</v>
      </c>
      <c r="R49" s="584">
        <f t="array" ref="R49">IF(SUM(($L49:$L49)*($L$11:$L$11))&gt;0,100,0)</f>
        <v>0</v>
      </c>
      <c r="S49" s="431">
        <f t="array" ref="S49">IF(SUM(($M49:$M49)*($M$11:$M$11))&gt;0,100,0)</f>
        <v>0</v>
      </c>
    </row>
    <row r="50" spans="1:19" x14ac:dyDescent="0.2">
      <c r="A50" s="551" t="str">
        <f>IF(LEN(КАФЕДРА!A50)&gt;2,КАФЕДРА!A50,"")</f>
        <v>Терапевтической стоматологии</v>
      </c>
      <c r="B50" s="789" t="str">
        <f>КАФЕДРА!$D50</f>
        <v>СТОМ</v>
      </c>
      <c r="C50" s="201">
        <f t="shared" si="1"/>
        <v>0</v>
      </c>
      <c r="D50" s="206">
        <f t="array" ref="D50">IF(SUM(($F50:$K50)*($F$11:$K$11))&gt;0,1,0)+IF(SUM(($L50:$L50)*($L$11:$L$11))&gt;0,1,0)+IF(SUM(($M50:$M50)*($M$11:$M$11))&gt;0,1,0)</f>
        <v>0</v>
      </c>
      <c r="E50" s="1290">
        <f t="array" ref="E50">SUM(($F50:$M50)*($F$11:$M$11))</f>
        <v>0</v>
      </c>
      <c r="F50" s="1291"/>
      <c r="G50" s="1292"/>
      <c r="H50" s="1292"/>
      <c r="I50" s="1292"/>
      <c r="J50" s="1292"/>
      <c r="K50" s="1293"/>
      <c r="L50" s="1294"/>
      <c r="M50" s="1295"/>
      <c r="N50" s="776">
        <f t="array" ref="N50">SUM(($F50:$K50)*($F$11:$K$11))</f>
        <v>0</v>
      </c>
      <c r="O50" s="776">
        <f t="array" ref="O50">SUM(($L50:$L50)*($L$11:$L$11))</f>
        <v>0</v>
      </c>
      <c r="P50" s="776">
        <f t="array" ref="P50">SUM(($M50:$M50)*($M$11:$M$11))</f>
        <v>0</v>
      </c>
      <c r="Q50" s="776">
        <f t="array" ref="Q50">IF(SUM(($F50:$K50)*($F$11:$K$11))&gt;0,100,0)</f>
        <v>0</v>
      </c>
      <c r="R50" s="584">
        <f t="array" ref="R50">IF(SUM(($L50:$L50)*($L$11:$L$11))&gt;0,100,0)</f>
        <v>0</v>
      </c>
      <c r="S50" s="431">
        <f t="array" ref="S50">IF(SUM(($M50:$M50)*($M$11:$M$11))&gt;0,100,0)</f>
        <v>0</v>
      </c>
    </row>
    <row r="51" spans="1:19" x14ac:dyDescent="0.2">
      <c r="A51" s="551" t="str">
        <f>IF(LEN(КАФЕДРА!A51)&gt;2,КАФЕДРА!A51,"")</f>
        <v>Физической культуры и здорового образа жизни</v>
      </c>
      <c r="B51" s="789" t="str">
        <f>КАФЕДРА!$D51</f>
        <v>СТОМ</v>
      </c>
      <c r="C51" s="201">
        <f t="shared" si="1"/>
        <v>0</v>
      </c>
      <c r="D51" s="206">
        <f t="array" ref="D51">IF(SUM(($F51:$K51)*($F$11:$K$11))&gt;0,1,0)+IF(SUM(($L51:$L51)*($L$11:$L$11))&gt;0,1,0)+IF(SUM(($M51:$M51)*($M$11:$M$11))&gt;0,1,0)</f>
        <v>0</v>
      </c>
      <c r="E51" s="1308">
        <f t="array" ref="E51">SUM(($F51:$M51)*($F$11:$M$11))</f>
        <v>0</v>
      </c>
      <c r="F51" s="1291"/>
      <c r="G51" s="1292"/>
      <c r="H51" s="1292"/>
      <c r="I51" s="1292"/>
      <c r="J51" s="1292"/>
      <c r="K51" s="1293"/>
      <c r="L51" s="1294"/>
      <c r="M51" s="1295"/>
      <c r="N51" s="776">
        <f t="array" ref="N51">SUM(($F51:$K51)*($F$11:$K$11))</f>
        <v>0</v>
      </c>
      <c r="O51" s="776">
        <f t="array" ref="O51">SUM(($L51:$L51)*($L$11:$L$11))</f>
        <v>0</v>
      </c>
      <c r="P51" s="776">
        <f t="array" ref="P51">SUM(($M51:$M51)*($M$11:$M$11))</f>
        <v>0</v>
      </c>
      <c r="Q51" s="776">
        <f t="array" ref="Q51">IF(SUM(($F51:$K51)*($F$11:$K$11))&gt;0,100,0)</f>
        <v>0</v>
      </c>
      <c r="R51" s="584">
        <f t="array" ref="R51">IF(SUM(($L51:$L51)*($L$11:$L$11))&gt;0,100,0)</f>
        <v>0</v>
      </c>
      <c r="S51" s="431">
        <f t="array" ref="S51">IF(SUM(($M51:$M51)*($M$11:$M$11))&gt;0,100,0)</f>
        <v>0</v>
      </c>
    </row>
    <row r="52" spans="1:19" ht="15" thickBot="1" x14ac:dyDescent="0.25">
      <c r="A52" s="578" t="str">
        <f>IF(LEN(КАФЕДРА!A52)&gt;2,КАФЕДРА!A52,"")</f>
        <v>Хирургической стоматологии, челюстно-лицевой хирургии</v>
      </c>
      <c r="B52" s="790" t="str">
        <f>КАФЕДРА!$D52</f>
        <v>СТОМ</v>
      </c>
      <c r="C52" s="585">
        <f t="shared" ref="C52:C75" si="2">IF($E52&gt;=200,100,$D52*100/3)</f>
        <v>0</v>
      </c>
      <c r="D52" s="586">
        <f t="array" ref="D52">IF(SUM(($F52:$K52)*($F$11:$K$11))&gt;0,1,0)+IF(SUM(($L52:$L52)*($L$11:$L$11))&gt;0,1,0)+IF(SUM(($M52:$M52)*($M$11:$M$11))&gt;0,1,0)</f>
        <v>0</v>
      </c>
      <c r="E52" s="1296">
        <f t="array" ref="E52">SUM(($F52:$M52)*($F$11:$M$11))</f>
        <v>0</v>
      </c>
      <c r="F52" s="1297"/>
      <c r="G52" s="1298"/>
      <c r="H52" s="1298"/>
      <c r="I52" s="1298"/>
      <c r="J52" s="1298"/>
      <c r="K52" s="1299"/>
      <c r="L52" s="1300"/>
      <c r="M52" s="1301"/>
      <c r="N52" s="779">
        <f t="array" ref="N52">SUM(($F52:$K52)*($F$11:$K$11))</f>
        <v>0</v>
      </c>
      <c r="O52" s="779">
        <f t="array" ref="O52">SUM(($L52:$L52)*($L$11:$L$11))</f>
        <v>0</v>
      </c>
      <c r="P52" s="779">
        <f t="array" ref="P52">SUM(($M52:$M52)*($M$11:$M$11))</f>
        <v>0</v>
      </c>
      <c r="Q52" s="779">
        <f t="array" ref="Q52">IF(SUM(($F52:$K52)*($F$11:$K$11))&gt;0,100,0)</f>
        <v>0</v>
      </c>
      <c r="R52" s="585">
        <f t="array" ref="R52">IF(SUM(($L52:$L52)*($L$11:$L$11))&gt;0,100,0)</f>
        <v>0</v>
      </c>
      <c r="S52" s="1302">
        <f t="array" ref="S52">IF(SUM(($M52:$M52)*($M$11:$M$11))&gt;0,100,0)</f>
        <v>0</v>
      </c>
    </row>
    <row r="53" spans="1:19" x14ac:dyDescent="0.2">
      <c r="A53" s="552" t="str">
        <f>IF(LEN(КАФЕДРА!A53)&gt;2,КАФЕДРА!A53,"")</f>
        <v>Биологии, гистологии, эмбриологии и цитологии</v>
      </c>
      <c r="B53" s="791" t="str">
        <f>КАФЕДРА!$D53</f>
        <v>ОЗДОРОВЬЯ</v>
      </c>
      <c r="C53" s="584">
        <f t="shared" si="2"/>
        <v>0</v>
      </c>
      <c r="D53" s="206">
        <f t="array" ref="D53">IF(SUM(($F53:$K53)*($F$11:$K$11))&gt;0,1,0)+IF(SUM(($L53:$L53)*($L$11:$L$11))&gt;0,1,0)+IF(SUM(($M53:$M53)*($M$11:$M$11))&gt;0,1,0)</f>
        <v>0</v>
      </c>
      <c r="E53" s="1290">
        <f t="array" ref="E53">SUM(($F53:$M53)*($F$11:$M$11))</f>
        <v>0</v>
      </c>
      <c r="F53" s="1303"/>
      <c r="G53" s="1304"/>
      <c r="H53" s="1304"/>
      <c r="I53" s="1304"/>
      <c r="J53" s="1304"/>
      <c r="K53" s="1305"/>
      <c r="L53" s="1306"/>
      <c r="M53" s="1307"/>
      <c r="N53" s="776">
        <f t="array" ref="N53">SUM(($F53:$K53)*($F$11:$K$11))</f>
        <v>0</v>
      </c>
      <c r="O53" s="776">
        <f t="array" ref="O53">SUM(($L53:$L53)*($L$11:$L$11))</f>
        <v>0</v>
      </c>
      <c r="P53" s="776">
        <f t="array" ref="P53">SUM(($M53:$M53)*($M$11:$M$11))</f>
        <v>0</v>
      </c>
      <c r="Q53" s="776">
        <f t="array" ref="Q53">IF(SUM(($F53:$K53)*($F$11:$K$11))&gt;0,100,0)</f>
        <v>0</v>
      </c>
      <c r="R53" s="584">
        <f t="array" ref="R53">IF(SUM(($L53:$L53)*($L$11:$L$11))&gt;0,100,0)</f>
        <v>0</v>
      </c>
      <c r="S53" s="431">
        <f t="array" ref="S53">IF(SUM(($M53:$M53)*($M$11:$M$11))&gt;0,100,0)</f>
        <v>0</v>
      </c>
    </row>
    <row r="54" spans="1:19" x14ac:dyDescent="0.2">
      <c r="A54" s="551" t="str">
        <f>IF(LEN(КАФЕДРА!A54)&gt;2,КАФЕДРА!A54,"")</f>
        <v>Гигиены и основ экологии</v>
      </c>
      <c r="B54" s="792" t="str">
        <f>КАФЕДРА!$D54</f>
        <v>ОЗДОРОВЬЯ</v>
      </c>
      <c r="C54" s="201">
        <f t="shared" si="2"/>
        <v>0</v>
      </c>
      <c r="D54" s="206">
        <f t="array" ref="D54">IF(SUM(($F54:$K54)*($F$11:$K$11))&gt;0,1,0)+IF(SUM(($L54:$L54)*($L$11:$L$11))&gt;0,1,0)+IF(SUM(($M54:$M54)*($M$11:$M$11))&gt;0,1,0)</f>
        <v>0</v>
      </c>
      <c r="E54" s="1290">
        <f t="array" ref="E54">SUM(($F54:$M54)*($F$11:$M$11))</f>
        <v>0</v>
      </c>
      <c r="F54" s="1291"/>
      <c r="G54" s="1292"/>
      <c r="H54" s="1292"/>
      <c r="I54" s="1292"/>
      <c r="J54" s="1292"/>
      <c r="K54" s="1293"/>
      <c r="L54" s="1294"/>
      <c r="M54" s="1295"/>
      <c r="N54" s="776">
        <f t="array" ref="N54">SUM(($F54:$K54)*($F$11:$K$11))</f>
        <v>0</v>
      </c>
      <c r="O54" s="776">
        <f t="array" ref="O54">SUM(($L54:$L54)*($L$11:$L$11))</f>
        <v>0</v>
      </c>
      <c r="P54" s="776">
        <f t="array" ref="P54">SUM(($M54:$M54)*($M$11:$M$11))</f>
        <v>0</v>
      </c>
      <c r="Q54" s="776">
        <f t="array" ref="Q54">IF(SUM(($F54:$K54)*($F$11:$K$11))&gt;0,100,0)</f>
        <v>0</v>
      </c>
      <c r="R54" s="584">
        <f t="array" ref="R54">IF(SUM(($L54:$L54)*($L$11:$L$11))&gt;0,100,0)</f>
        <v>0</v>
      </c>
      <c r="S54" s="431">
        <f t="array" ref="S54">IF(SUM(($M54:$M54)*($M$11:$M$11))&gt;0,100,0)</f>
        <v>0</v>
      </c>
    </row>
    <row r="55" spans="1:19" x14ac:dyDescent="0.2">
      <c r="A55" s="551" t="str">
        <f>IF(LEN(КАФЕДРА!A55)&gt;2,КАФЕДРА!A55,"")</f>
        <v>Дерматовенерологии, косметологии и иммунологии</v>
      </c>
      <c r="B55" s="792" t="str">
        <f>КАФЕДРА!$D55</f>
        <v>ОЗДОРОВЬЯ</v>
      </c>
      <c r="C55" s="201">
        <f t="shared" si="2"/>
        <v>0</v>
      </c>
      <c r="D55" s="206">
        <f t="array" ref="D55">IF(SUM(($F55:$K55)*($F$11:$K$11))&gt;0,1,0)+IF(SUM(($L55:$L55)*($L$11:$L$11))&gt;0,1,0)+IF(SUM(($M55:$M55)*($M$11:$M$11))&gt;0,1,0)</f>
        <v>0</v>
      </c>
      <c r="E55" s="1290">
        <f t="array" ref="E55">SUM(($F55:$M55)*($F$11:$M$11))</f>
        <v>0</v>
      </c>
      <c r="F55" s="1291"/>
      <c r="G55" s="1292"/>
      <c r="H55" s="1292"/>
      <c r="I55" s="1292"/>
      <c r="J55" s="1292"/>
      <c r="K55" s="1293"/>
      <c r="L55" s="1294"/>
      <c r="M55" s="1295"/>
      <c r="N55" s="776">
        <f t="array" ref="N55">SUM(($F55:$K55)*($F$11:$K$11))</f>
        <v>0</v>
      </c>
      <c r="O55" s="776">
        <f t="array" ref="O55">SUM(($L55:$L55)*($L$11:$L$11))</f>
        <v>0</v>
      </c>
      <c r="P55" s="776">
        <f t="array" ref="P55">SUM(($M55:$M55)*($M$11:$M$11))</f>
        <v>0</v>
      </c>
      <c r="Q55" s="776">
        <f t="array" ref="Q55">IF(SUM(($F55:$K55)*($F$11:$K$11))&gt;0,100,0)</f>
        <v>0</v>
      </c>
      <c r="R55" s="584">
        <f t="array" ref="R55">IF(SUM(($L55:$L55)*($L$11:$L$11))&gt;0,100,0)</f>
        <v>0</v>
      </c>
      <c r="S55" s="431">
        <f t="array" ref="S55">IF(SUM(($M55:$M55)*($M$11:$M$11))&gt;0,100,0)</f>
        <v>0</v>
      </c>
    </row>
    <row r="56" spans="1:19" x14ac:dyDescent="0.2">
      <c r="A56" s="551" t="str">
        <f>IF(LEN(КАФЕДРА!A56)&gt;2,КАФЕДРА!A56,"")</f>
        <v>Инфекционных болезней с курсом ДПО</v>
      </c>
      <c r="B56" s="792" t="str">
        <f>КАФЕДРА!$D56</f>
        <v>ОЗДОРОВЬЯ</v>
      </c>
      <c r="C56" s="201">
        <f t="shared" si="2"/>
        <v>0</v>
      </c>
      <c r="D56" s="206">
        <f t="array" ref="D56">IF(SUM(($F56:$K56)*($F$11:$K$11))&gt;0,1,0)+IF(SUM(($L56:$L56)*($L$11:$L$11))&gt;0,1,0)+IF(SUM(($M56:$M56)*($M$11:$M$11))&gt;0,1,0)</f>
        <v>0</v>
      </c>
      <c r="E56" s="1290">
        <f t="array" ref="E56">SUM(($F56:$M56)*($F$11:$M$11))</f>
        <v>0</v>
      </c>
      <c r="F56" s="1291"/>
      <c r="G56" s="1292"/>
      <c r="H56" s="1292"/>
      <c r="I56" s="1292"/>
      <c r="J56" s="1292"/>
      <c r="K56" s="1293"/>
      <c r="L56" s="1294"/>
      <c r="M56" s="1295"/>
      <c r="N56" s="776">
        <f t="array" ref="N56">SUM(($F56:$K56)*($F$11:$K$11))</f>
        <v>0</v>
      </c>
      <c r="O56" s="776">
        <f t="array" ref="O56">SUM(($L56:$L56)*($L$11:$L$11))</f>
        <v>0</v>
      </c>
      <c r="P56" s="776">
        <f t="array" ref="P56">SUM(($M56:$M56)*($M$11:$M$11))</f>
        <v>0</v>
      </c>
      <c r="Q56" s="776">
        <f t="array" ref="Q56">IF(SUM(($F56:$K56)*($F$11:$K$11))&gt;0,100,0)</f>
        <v>0</v>
      </c>
      <c r="R56" s="584">
        <f t="array" ref="R56">IF(SUM(($L56:$L56)*($L$11:$L$11))&gt;0,100,0)</f>
        <v>0</v>
      </c>
      <c r="S56" s="431">
        <f t="array" ref="S56">IF(SUM(($M56:$M56)*($M$11:$M$11))&gt;0,100,0)</f>
        <v>0</v>
      </c>
    </row>
    <row r="57" spans="1:19" x14ac:dyDescent="0.2">
      <c r="A57" s="551" t="str">
        <f>IF(LEN(КАФЕДРА!A57)&gt;2,КАФЕДРА!A57,"")</f>
        <v>Медицины катастроф и безопасности жизнедеятельности</v>
      </c>
      <c r="B57" s="792" t="str">
        <f>КАФЕДРА!$D57</f>
        <v>ОЗДОРОВЬЯ</v>
      </c>
      <c r="C57" s="201">
        <f t="shared" si="2"/>
        <v>0</v>
      </c>
      <c r="D57" s="206">
        <f t="array" ref="D57">IF(SUM(($F57:$K57)*($F$11:$K$11))&gt;0,1,0)+IF(SUM(($L57:$L57)*($L$11:$L$11))&gt;0,1,0)+IF(SUM(($M57:$M57)*($M$11:$M$11))&gt;0,1,0)</f>
        <v>0</v>
      </c>
      <c r="E57" s="1290">
        <f t="array" ref="E57">SUM(($F57:$M57)*($F$11:$M$11))</f>
        <v>0</v>
      </c>
      <c r="F57" s="1291"/>
      <c r="G57" s="1292"/>
      <c r="H57" s="1292"/>
      <c r="I57" s="1292"/>
      <c r="J57" s="1292"/>
      <c r="K57" s="1293"/>
      <c r="L57" s="1294"/>
      <c r="M57" s="1295"/>
      <c r="N57" s="776">
        <f t="array" ref="N57">SUM(($F57:$K57)*($F$11:$K$11))</f>
        <v>0</v>
      </c>
      <c r="O57" s="776">
        <f t="array" ref="O57">SUM(($L57:$L57)*($L$11:$L$11))</f>
        <v>0</v>
      </c>
      <c r="P57" s="776">
        <f t="array" ref="P57">SUM(($M57:$M57)*($M$11:$M$11))</f>
        <v>0</v>
      </c>
      <c r="Q57" s="776">
        <f t="array" ref="Q57">IF(SUM(($F57:$K57)*($F$11:$K$11))&gt;0,100,0)</f>
        <v>0</v>
      </c>
      <c r="R57" s="584">
        <f t="array" ref="R57">IF(SUM(($L57:$L57)*($L$11:$L$11))&gt;0,100,0)</f>
        <v>0</v>
      </c>
      <c r="S57" s="431">
        <f t="array" ref="S57">IF(SUM(($M57:$M57)*($M$11:$M$11))&gt;0,100,0)</f>
        <v>0</v>
      </c>
    </row>
    <row r="58" spans="1:19" x14ac:dyDescent="0.2">
      <c r="A58" s="551" t="str">
        <f>IF(LEN(КАФЕДРА!A58)&gt;2,КАФЕДРА!A58,"")</f>
        <v>Медицинского права</v>
      </c>
      <c r="B58" s="792" t="str">
        <f>КАФЕДРА!$D58</f>
        <v>ОЗДОРОВЬЯ</v>
      </c>
      <c r="C58" s="201">
        <f t="shared" si="2"/>
        <v>0</v>
      </c>
      <c r="D58" s="206">
        <f t="array" ref="D58">IF(SUM(($F58:$K58)*($F$11:$K$11))&gt;0,1,0)+IF(SUM(($L58:$L58)*($L$11:$L$11))&gt;0,1,0)+IF(SUM(($M58:$M58)*($M$11:$M$11))&gt;0,1,0)</f>
        <v>0</v>
      </c>
      <c r="E58" s="1290">
        <f t="array" ref="E58">SUM(($F58:$M58)*($F$11:$M$11))</f>
        <v>0</v>
      </c>
      <c r="F58" s="1291"/>
      <c r="G58" s="1292"/>
      <c r="H58" s="1292"/>
      <c r="I58" s="1292"/>
      <c r="J58" s="1292"/>
      <c r="K58" s="1293"/>
      <c r="L58" s="1294"/>
      <c r="M58" s="1295"/>
      <c r="N58" s="776">
        <f t="array" ref="N58">SUM(($F58:$K58)*($F$11:$K$11))</f>
        <v>0</v>
      </c>
      <c r="O58" s="776">
        <f t="array" ref="O58">SUM(($L58:$L58)*($L$11:$L$11))</f>
        <v>0</v>
      </c>
      <c r="P58" s="776">
        <f t="array" ref="P58">SUM(($M58:$M58)*($M$11:$M$11))</f>
        <v>0</v>
      </c>
      <c r="Q58" s="776">
        <f t="array" ref="Q58">IF(SUM(($F58:$K58)*($F$11:$K$11))&gt;0,100,0)</f>
        <v>0</v>
      </c>
      <c r="R58" s="584">
        <f t="array" ref="R58">IF(SUM(($L58:$L58)*($L$11:$L$11))&gt;0,100,0)</f>
        <v>0</v>
      </c>
      <c r="S58" s="431">
        <f t="array" ref="S58">IF(SUM(($M58:$M58)*($M$11:$M$11))&gt;0,100,0)</f>
        <v>0</v>
      </c>
    </row>
    <row r="59" spans="1:19" x14ac:dyDescent="0.2">
      <c r="A59" s="551" t="str">
        <f>IF(LEN(КАФЕДРА!A59)&gt;2,КАФЕДРА!A59,"")</f>
        <v>Общественного здоровья и здравоохранения</v>
      </c>
      <c r="B59" s="792" t="str">
        <f>КАФЕДРА!$D59</f>
        <v>ОЗДОРОВЬЯ</v>
      </c>
      <c r="C59" s="201">
        <f t="shared" si="2"/>
        <v>0</v>
      </c>
      <c r="D59" s="206">
        <f t="array" ref="D59">IF(SUM(($F59:$K59)*($F$11:$K$11))&gt;0,1,0)+IF(SUM(($L59:$L59)*($L$11:$L$11))&gt;0,1,0)+IF(SUM(($M59:$M59)*($M$11:$M$11))&gt;0,1,0)</f>
        <v>0</v>
      </c>
      <c r="E59" s="1290">
        <f t="array" ref="E59">SUM(($F59:$M59)*($F$11:$M$11))</f>
        <v>0</v>
      </c>
      <c r="F59" s="1291"/>
      <c r="G59" s="1292"/>
      <c r="H59" s="1292"/>
      <c r="I59" s="1292"/>
      <c r="J59" s="1292"/>
      <c r="K59" s="1293"/>
      <c r="L59" s="1294"/>
      <c r="M59" s="1295"/>
      <c r="N59" s="776">
        <f t="array" ref="N59">SUM(($F59:$K59)*($F$11:$K$11))</f>
        <v>0</v>
      </c>
      <c r="O59" s="776">
        <f t="array" ref="O59">SUM(($L59:$L59)*($L$11:$L$11))</f>
        <v>0</v>
      </c>
      <c r="P59" s="776">
        <f t="array" ref="P59">SUM(($M59:$M59)*($M$11:$M$11))</f>
        <v>0</v>
      </c>
      <c r="Q59" s="776">
        <f t="array" ref="Q59">IF(SUM(($F59:$K59)*($F$11:$K$11))&gt;0,100,0)</f>
        <v>0</v>
      </c>
      <c r="R59" s="584">
        <f t="array" ref="R59">IF(SUM(($L59:$L59)*($L$11:$L$11))&gt;0,100,0)</f>
        <v>0</v>
      </c>
      <c r="S59" s="431">
        <f t="array" ref="S59">IF(SUM(($M59:$M59)*($M$11:$M$11))&gt;0,100,0)</f>
        <v>0</v>
      </c>
    </row>
    <row r="60" spans="1:19" x14ac:dyDescent="0.2">
      <c r="A60" s="551" t="str">
        <f>IF(LEN(КАФЕДРА!A60)&gt;2,КАФЕДРА!A60,"")</f>
        <v>Пульмонологии и фтизиатрии с курсом ДПО</v>
      </c>
      <c r="B60" s="792" t="str">
        <f>КАФЕДРА!$D60</f>
        <v>ОЗДОРОВЬЯ</v>
      </c>
      <c r="C60" s="201">
        <f t="shared" si="2"/>
        <v>0</v>
      </c>
      <c r="D60" s="206">
        <f t="array" ref="D60">IF(SUM(($F60:$K60)*($F$11:$K$11))&gt;0,1,0)+IF(SUM(($L60:$L60)*($L$11:$L$11))&gt;0,1,0)+IF(SUM(($M60:$M60)*($M$11:$M$11))&gt;0,1,0)</f>
        <v>0</v>
      </c>
      <c r="E60" s="1290">
        <f t="array" ref="E60">SUM(($F60:$M60)*($F$11:$M$11))</f>
        <v>0</v>
      </c>
      <c r="F60" s="1291"/>
      <c r="G60" s="1292"/>
      <c r="H60" s="1292"/>
      <c r="I60" s="1292"/>
      <c r="J60" s="1292"/>
      <c r="K60" s="1293"/>
      <c r="L60" s="1294"/>
      <c r="M60" s="1295"/>
      <c r="N60" s="776">
        <f t="array" ref="N60">SUM(($F60:$K60)*($F$11:$K$11))</f>
        <v>0</v>
      </c>
      <c r="O60" s="776">
        <f t="array" ref="O60">SUM(($L60:$L60)*($L$11:$L$11))</f>
        <v>0</v>
      </c>
      <c r="P60" s="776">
        <f t="array" ref="P60">SUM(($M60:$M60)*($M$11:$M$11))</f>
        <v>0</v>
      </c>
      <c r="Q60" s="776">
        <f t="array" ref="Q60">IF(SUM(($F60:$K60)*($F$11:$K$11))&gt;0,100,0)</f>
        <v>0</v>
      </c>
      <c r="R60" s="584">
        <f t="array" ref="R60">IF(SUM(($L60:$L60)*($L$11:$L$11))&gt;0,100,0)</f>
        <v>0</v>
      </c>
      <c r="S60" s="431">
        <f t="array" ref="S60">IF(SUM(($M60:$M60)*($M$11:$M$11))&gt;0,100,0)</f>
        <v>0</v>
      </c>
    </row>
    <row r="61" spans="1:19" x14ac:dyDescent="0.2">
      <c r="A61" s="551" t="str">
        <f>IF(LEN(КАФЕДРА!A61)&gt;2,КАФЕДРА!A61,"")</f>
        <v>Эпидемиологии, микробиологии и вирусологии</v>
      </c>
      <c r="B61" s="792" t="str">
        <f>КАФЕДРА!$D61</f>
        <v>ОЗДОРОВЬЯ</v>
      </c>
      <c r="C61" s="201">
        <f t="shared" si="2"/>
        <v>0</v>
      </c>
      <c r="D61" s="206">
        <f t="array" ref="D61">IF(SUM(($F61:$K61)*($F$11:$K$11))&gt;0,1,0)+IF(SUM(($L61:$L61)*($L$11:$L$11))&gt;0,1,0)+IF(SUM(($M61:$M61)*($M$11:$M$11))&gt;0,1,0)</f>
        <v>0</v>
      </c>
      <c r="E61" s="1290">
        <f t="array" ref="E61">SUM(($F61:$M61)*($F$11:$M$11))</f>
        <v>0</v>
      </c>
      <c r="F61" s="1291"/>
      <c r="G61" s="1292"/>
      <c r="H61" s="1292"/>
      <c r="I61" s="1292"/>
      <c r="J61" s="1292"/>
      <c r="K61" s="1293"/>
      <c r="L61" s="1294"/>
      <c r="M61" s="1295"/>
      <c r="N61" s="776">
        <f t="array" ref="N61">SUM(($F61:$K61)*($F$11:$K$11))</f>
        <v>0</v>
      </c>
      <c r="O61" s="776">
        <f t="array" ref="O61">SUM(($L61:$L61)*($L$11:$L$11))</f>
        <v>0</v>
      </c>
      <c r="P61" s="776">
        <f t="array" ref="P61">SUM(($M61:$M61)*($M$11:$M$11))</f>
        <v>0</v>
      </c>
      <c r="Q61" s="776">
        <f t="array" ref="Q61">IF(SUM(($F61:$K61)*($F$11:$K$11))&gt;0,100,0)</f>
        <v>0</v>
      </c>
      <c r="R61" s="584">
        <f t="array" ref="R61">IF(SUM(($L61:$L61)*($L$11:$L$11))&gt;0,100,0)</f>
        <v>0</v>
      </c>
      <c r="S61" s="431">
        <f t="array" ref="S61">IF(SUM(($M61:$M61)*($M$11:$M$11))&gt;0,100,0)</f>
        <v>0</v>
      </c>
    </row>
    <row r="62" spans="1:19" ht="15" thickBot="1" x14ac:dyDescent="0.25">
      <c r="A62" s="578" t="str">
        <f>IF(LEN(КАФЕДРА!A62)&gt;2,КАФЕДРА!A62,"")</f>
        <v>Социально-гуманитарных наук</v>
      </c>
      <c r="B62" s="793" t="str">
        <f>КАФЕДРА!$D62</f>
        <v>ОЗДОРОВЬЯ</v>
      </c>
      <c r="C62" s="585">
        <f t="shared" si="2"/>
        <v>0</v>
      </c>
      <c r="D62" s="586">
        <f t="array" ref="D62">IF(SUM(($F62:$K62)*($F$11:$K$11))&gt;0,1,0)+IF(SUM(($L62:$L62)*($L$11:$L$11))&gt;0,1,0)+IF(SUM(($M62:$M62)*($M$11:$M$11))&gt;0,1,0)</f>
        <v>0</v>
      </c>
      <c r="E62" s="1296">
        <f t="array" ref="E62">SUM(($F62:$M62)*($F$11:$M$11))</f>
        <v>0</v>
      </c>
      <c r="F62" s="1317"/>
      <c r="G62" s="1318"/>
      <c r="H62" s="1318"/>
      <c r="I62" s="1318"/>
      <c r="J62" s="1318"/>
      <c r="K62" s="1319"/>
      <c r="L62" s="1300"/>
      <c r="M62" s="1301"/>
      <c r="N62" s="779">
        <f t="array" ref="N62">SUM(($F62:$K62)*($F$11:$K$11))</f>
        <v>0</v>
      </c>
      <c r="O62" s="779">
        <f t="array" ref="O62">SUM(($L62:$L62)*($L$11:$L$11))</f>
        <v>0</v>
      </c>
      <c r="P62" s="779">
        <f t="array" ref="P62">SUM(($M62:$M62)*($M$11:$M$11))</f>
        <v>0</v>
      </c>
      <c r="Q62" s="779">
        <f t="array" ref="Q62">IF(SUM(($F62:$K62)*($F$11:$K$11))&gt;0,100,0)</f>
        <v>0</v>
      </c>
      <c r="R62" s="585">
        <f t="array" ref="R62">IF(SUM(($L62:$L62)*($L$11:$L$11))&gt;0,100,0)</f>
        <v>0</v>
      </c>
      <c r="S62" s="1302">
        <f t="array" ref="S62">IF(SUM(($M62:$M62)*($M$11:$M$11))&gt;0,100,0)</f>
        <v>0</v>
      </c>
    </row>
    <row r="63" spans="1:19" ht="15" thickBot="1" x14ac:dyDescent="0.25">
      <c r="A63" s="579" t="str">
        <f>IF(LEN(КАФЕДРА!A63)&gt;2,КАФЕДРА!A63,"")</f>
        <v>Сестринского дела</v>
      </c>
      <c r="B63" s="1320" t="str">
        <f>КАФЕДРА!$D63</f>
        <v>СПО</v>
      </c>
      <c r="C63" s="594">
        <f t="shared" si="2"/>
        <v>0</v>
      </c>
      <c r="D63" s="590">
        <f t="array" ref="D63">IF(SUM(($F63:$K63)*($F$11:$K$11))&gt;0,1,0)+IF(SUM(($L63:$L63)*($L$11:$L$11))&gt;0,1,0)+IF(SUM(($M63:$M63)*($M$11:$M$11))&gt;0,1,0)</f>
        <v>0</v>
      </c>
      <c r="E63" s="1321">
        <f t="array" ref="E63">SUM(($F63:$M63)*($F$11:$M$11))</f>
        <v>0</v>
      </c>
      <c r="F63" s="1322"/>
      <c r="G63" s="1323"/>
      <c r="H63" s="1323"/>
      <c r="I63" s="1323"/>
      <c r="J63" s="1323"/>
      <c r="K63" s="1324"/>
      <c r="L63" s="1325"/>
      <c r="M63" s="1326"/>
      <c r="N63" s="780">
        <f t="array" ref="N63">SUM(($F63:$K63)*($F$11:$K$11))</f>
        <v>0</v>
      </c>
      <c r="O63" s="780">
        <f t="array" ref="O63">SUM(($L63:$L63)*($L$11:$L$11))</f>
        <v>0</v>
      </c>
      <c r="P63" s="780">
        <f t="array" ref="P63">SUM(($M63:$M63)*($M$11:$M$11))</f>
        <v>0</v>
      </c>
      <c r="Q63" s="780">
        <f t="array" ref="Q63">IF(SUM(($F63:$K63)*($F$11:$K$11))&gt;0,100,0)</f>
        <v>0</v>
      </c>
      <c r="R63" s="594">
        <f t="array" ref="R63">IF(SUM(($L63:$L63)*($L$11:$L$11))&gt;0,100,0)</f>
        <v>0</v>
      </c>
      <c r="S63" s="1241">
        <f t="array" ref="S63">IF(SUM(($M63:$M63)*($M$11:$M$11))&gt;0,100,0)</f>
        <v>0</v>
      </c>
    </row>
    <row r="64" spans="1:19" x14ac:dyDescent="0.2">
      <c r="A64" s="552" t="str">
        <f>IF(LEN(КАФЕДРА!A64)&gt;2,КАФЕДРА!A64,"")</f>
        <v>Биологической химии, клинической лабораторной диагностики</v>
      </c>
      <c r="B64" s="796" t="str">
        <f>КАФЕДРА!$D64</f>
        <v>ФАРМ</v>
      </c>
      <c r="C64" s="584">
        <f t="shared" si="2"/>
        <v>0</v>
      </c>
      <c r="D64" s="206">
        <f t="array" ref="D64">IF(SUM(($F64:$K64)*($F$11:$K$11))&gt;0,1,0)+IF(SUM(($L64:$L64)*($L$11:$L$11))&gt;0,1,0)+IF(SUM(($M64:$M64)*($M$11:$M$11))&gt;0,1,0)</f>
        <v>0</v>
      </c>
      <c r="E64" s="1290">
        <f t="array" ref="E64">SUM(($F64:$M64)*($F$11:$M$11))</f>
        <v>0</v>
      </c>
      <c r="F64" s="1303"/>
      <c r="G64" s="1304"/>
      <c r="H64" s="1304"/>
      <c r="I64" s="1304"/>
      <c r="J64" s="1304"/>
      <c r="K64" s="1305"/>
      <c r="L64" s="1306"/>
      <c r="M64" s="1307"/>
      <c r="N64" s="776">
        <f t="array" ref="N64">SUM(($F64:$K64)*($F$11:$K$11))</f>
        <v>0</v>
      </c>
      <c r="O64" s="776">
        <f t="array" ref="O64">SUM(($L64:$L64)*($L$11:$L$11))</f>
        <v>0</v>
      </c>
      <c r="P64" s="776">
        <f t="array" ref="P64">SUM(($M64:$M64)*($M$11:$M$11))</f>
        <v>0</v>
      </c>
      <c r="Q64" s="776">
        <f t="array" ref="Q64">IF(SUM(($F64:$K64)*($F$11:$K$11))&gt;0,100,0)</f>
        <v>0</v>
      </c>
      <c r="R64" s="584">
        <f t="array" ref="R64">IF(SUM(($L64:$L64)*($L$11:$L$11))&gt;0,100,0)</f>
        <v>0</v>
      </c>
      <c r="S64" s="431">
        <f t="array" ref="S64">IF(SUM(($M64:$M64)*($M$11:$M$11))&gt;0,100,0)</f>
        <v>0</v>
      </c>
    </row>
    <row r="65" spans="1:79" x14ac:dyDescent="0.2">
      <c r="A65" s="551" t="str">
        <f>IF(LEN(КАФЕДРА!A65)&gt;2,КАФЕДРА!A65,"")</f>
        <v>Химии</v>
      </c>
      <c r="B65" s="797" t="str">
        <f>КАФЕДРА!$D65</f>
        <v>ФАРМ</v>
      </c>
      <c r="C65" s="201">
        <f t="shared" si="2"/>
        <v>0</v>
      </c>
      <c r="D65" s="206">
        <f t="array" ref="D65">IF(SUM(($F65:$K65)*($F$11:$K$11))&gt;0,1,0)+IF(SUM(($L65:$L65)*($L$11:$L$11))&gt;0,1,0)+IF(SUM(($M65:$M65)*($M$11:$M$11))&gt;0,1,0)</f>
        <v>0</v>
      </c>
      <c r="E65" s="1290">
        <f t="array" ref="E65">SUM(($F65:$M65)*($F$11:$M$11))</f>
        <v>0</v>
      </c>
      <c r="F65" s="1291"/>
      <c r="G65" s="1292"/>
      <c r="H65" s="1292"/>
      <c r="I65" s="1292"/>
      <c r="J65" s="1292"/>
      <c r="K65" s="1293"/>
      <c r="L65" s="1294"/>
      <c r="M65" s="1295"/>
      <c r="N65" s="776">
        <f t="array" ref="N65">SUM(($F65:$K65)*($F$11:$K$11))</f>
        <v>0</v>
      </c>
      <c r="O65" s="776">
        <f t="array" ref="O65">SUM(($L65:$L65)*($L$11:$L$11))</f>
        <v>0</v>
      </c>
      <c r="P65" s="776">
        <f t="array" ref="P65">SUM(($M65:$M65)*($M$11:$M$11))</f>
        <v>0</v>
      </c>
      <c r="Q65" s="776">
        <f t="array" ref="Q65">IF(SUM(($F65:$K65)*($F$11:$K$11))&gt;0,100,0)</f>
        <v>0</v>
      </c>
      <c r="R65" s="584">
        <f t="array" ref="R65">IF(SUM(($L65:$L65)*($L$11:$L$11))&gt;0,100,0)</f>
        <v>0</v>
      </c>
      <c r="S65" s="431">
        <f t="array" ref="S65">IF(SUM(($M65:$M65)*($M$11:$M$11))&gt;0,100,0)</f>
        <v>0</v>
      </c>
    </row>
    <row r="66" spans="1:79" x14ac:dyDescent="0.2">
      <c r="A66" s="551" t="str">
        <f>IF(LEN(КАФЕДРА!A66)&gt;2,КАФЕДРА!A66,"")</f>
        <v>Фармакологии имени профессора В.М. Брюханова</v>
      </c>
      <c r="B66" s="797" t="str">
        <f>КАФЕДРА!$D66</f>
        <v>ФАРМ</v>
      </c>
      <c r="C66" s="201">
        <f t="shared" si="2"/>
        <v>0</v>
      </c>
      <c r="D66" s="206">
        <f t="array" ref="D66">IF(SUM(($F66:$K66)*($F$11:$K$11))&gt;0,1,0)+IF(SUM(($L66:$L66)*($L$11:$L$11))&gt;0,1,0)+IF(SUM(($M66:$M66)*($M$11:$M$11))&gt;0,1,0)</f>
        <v>0</v>
      </c>
      <c r="E66" s="1290">
        <f t="array" ref="E66">SUM(($F66:$M66)*($F$11:$M$11))</f>
        <v>0</v>
      </c>
      <c r="F66" s="1291"/>
      <c r="G66" s="1292"/>
      <c r="H66" s="1292"/>
      <c r="I66" s="1292"/>
      <c r="J66" s="1292"/>
      <c r="K66" s="1293"/>
      <c r="L66" s="1294"/>
      <c r="M66" s="1295"/>
      <c r="N66" s="776">
        <f t="array" ref="N66">SUM(($F66:$K66)*($F$11:$K$11))</f>
        <v>0</v>
      </c>
      <c r="O66" s="776">
        <f t="array" ref="O66">SUM(($L66:$L66)*($L$11:$L$11))</f>
        <v>0</v>
      </c>
      <c r="P66" s="776">
        <f t="array" ref="P66">SUM(($M66:$M66)*($M$11:$M$11))</f>
        <v>0</v>
      </c>
      <c r="Q66" s="776">
        <f t="array" ref="Q66">IF(SUM(($F66:$K66)*($F$11:$K$11))&gt;0,100,0)</f>
        <v>0</v>
      </c>
      <c r="R66" s="584">
        <f t="array" ref="R66">IF(SUM(($L66:$L66)*($L$11:$L$11))&gt;0,100,0)</f>
        <v>0</v>
      </c>
      <c r="S66" s="431">
        <f t="array" ref="S66">IF(SUM(($M66:$M66)*($M$11:$M$11))&gt;0,100,0)</f>
        <v>0</v>
      </c>
    </row>
    <row r="67" spans="1:79" x14ac:dyDescent="0.2">
      <c r="A67" s="551" t="str">
        <f>IF(LEN(КАФЕДРА!A67)&gt;2,КАФЕДРА!A67,"")</f>
        <v>Фармации</v>
      </c>
      <c r="B67" s="797" t="str">
        <f>КАФЕДРА!$D67</f>
        <v>ФАРМ</v>
      </c>
      <c r="C67" s="201">
        <f t="shared" si="2"/>
        <v>0</v>
      </c>
      <c r="D67" s="206">
        <f t="array" ref="D67">IF(SUM(($F67:$K67)*($F$11:$K$11))&gt;0,1,0)+IF(SUM(($L67:$L67)*($L$11:$L$11))&gt;0,1,0)+IF(SUM(($M67:$M67)*($M$11:$M$11))&gt;0,1,0)</f>
        <v>0</v>
      </c>
      <c r="E67" s="1290">
        <f t="array" ref="E67">SUM(($F67:$M67)*($F$11:$M$11))</f>
        <v>0</v>
      </c>
      <c r="F67" s="1291"/>
      <c r="G67" s="1292"/>
      <c r="H67" s="1292"/>
      <c r="I67" s="1292"/>
      <c r="J67" s="1292"/>
      <c r="K67" s="1293"/>
      <c r="L67" s="1294"/>
      <c r="M67" s="1295"/>
      <c r="N67" s="776">
        <f t="array" ref="N67">SUM(($F67:$K67)*($F$11:$K$11))</f>
        <v>0</v>
      </c>
      <c r="O67" s="776">
        <f t="array" ref="O67">SUM(($L67:$L67)*($L$11:$L$11))</f>
        <v>0</v>
      </c>
      <c r="P67" s="776">
        <f t="array" ref="P67">SUM(($M67:$M67)*($M$11:$M$11))</f>
        <v>0</v>
      </c>
      <c r="Q67" s="776">
        <f t="array" ref="Q67">IF(SUM(($F67:$K67)*($F$11:$K$11))&gt;0,100,0)</f>
        <v>0</v>
      </c>
      <c r="R67" s="584">
        <f t="array" ref="R67">IF(SUM(($L67:$L67)*($L$11:$L$11))&gt;0,100,0)</f>
        <v>0</v>
      </c>
      <c r="S67" s="431">
        <f t="array" ref="S67">IF(SUM(($M67:$M67)*($M$11:$M$11))&gt;0,100,0)</f>
        <v>0</v>
      </c>
    </row>
    <row r="68" spans="1:79" ht="15" thickBot="1" x14ac:dyDescent="0.25">
      <c r="A68" s="578" t="str">
        <f>IF(LEN(КАФЕДРА!A68)&gt;2,КАФЕДРА!A68,"")</f>
        <v>Физики и информатики</v>
      </c>
      <c r="B68" s="798" t="str">
        <f>КАФЕДРА!$D68</f>
        <v>ФАРМ</v>
      </c>
      <c r="C68" s="585">
        <f t="shared" si="2"/>
        <v>0</v>
      </c>
      <c r="D68" s="586">
        <f t="array" ref="D68">IF(SUM(($F68:$K68)*($F$11:$K$11))&gt;0,1,0)+IF(SUM(($L68:$L68)*($L$11:$L$11))&gt;0,1,0)+IF(SUM(($M68:$M68)*($M$11:$M$11))&gt;0,1,0)</f>
        <v>0</v>
      </c>
      <c r="E68" s="1296">
        <f t="array" ref="E68">SUM(($F68:$M68)*($F$11:$M$11))</f>
        <v>0</v>
      </c>
      <c r="F68" s="1297"/>
      <c r="G68" s="1298"/>
      <c r="H68" s="1298"/>
      <c r="I68" s="1298"/>
      <c r="J68" s="1298"/>
      <c r="K68" s="1299"/>
      <c r="L68" s="1300"/>
      <c r="M68" s="1301"/>
      <c r="N68" s="779">
        <f t="array" ref="N68">SUM(($F68:$K68)*($F$11:$K$11))</f>
        <v>0</v>
      </c>
      <c r="O68" s="779">
        <f t="array" ref="O68">SUM(($L68:$L68)*($L$11:$L$11))</f>
        <v>0</v>
      </c>
      <c r="P68" s="779">
        <f t="array" ref="P68">SUM(($M68:$M68)*($M$11:$M$11))</f>
        <v>0</v>
      </c>
      <c r="Q68" s="779">
        <f t="array" ref="Q68">IF(SUM(($F68:$K68)*($F$11:$K$11))&gt;0,100,0)</f>
        <v>0</v>
      </c>
      <c r="R68" s="585">
        <f t="array" ref="R68">IF(SUM(($L68:$L68)*($L$11:$L$11))&gt;0,100,0)</f>
        <v>0</v>
      </c>
      <c r="S68" s="1302">
        <f t="array" ref="S68">IF(SUM(($M68:$M68)*($M$11:$M$11))&gt;0,100,0)</f>
        <v>0</v>
      </c>
    </row>
    <row r="69" spans="1:79" x14ac:dyDescent="0.2">
      <c r="A69" s="552" t="str">
        <f>IF(LEN(КАФЕДРА!A69)&gt;2,КАФЕДРА!A69,"")</f>
        <v>Клинической психологии</v>
      </c>
      <c r="B69" s="799" t="str">
        <f>КАФЕДРА!$D69</f>
        <v>КПСИХОЛОГИИ</v>
      </c>
      <c r="C69" s="584">
        <f t="shared" si="2"/>
        <v>0</v>
      </c>
      <c r="D69" s="206">
        <f t="array" ref="D69">IF(SUM(($F69:$K69)*($F$11:$K$11))&gt;0,1,0)+IF(SUM(($L69:$L69)*($L$11:$L$11))&gt;0,1,0)+IF(SUM(($M69:$M69)*($M$11:$M$11))&gt;0,1,0)</f>
        <v>0</v>
      </c>
      <c r="E69" s="1290">
        <f t="array" ref="E69">SUM(($F69:$M69)*($F$11:$M$11))</f>
        <v>0</v>
      </c>
      <c r="F69" s="1303"/>
      <c r="G69" s="1304"/>
      <c r="H69" s="1304"/>
      <c r="I69" s="1304"/>
      <c r="J69" s="1304"/>
      <c r="K69" s="1305"/>
      <c r="L69" s="1306"/>
      <c r="M69" s="1307"/>
      <c r="N69" s="776">
        <f t="array" ref="N69">SUM(($F69:$K69)*($F$11:$K$11))</f>
        <v>0</v>
      </c>
      <c r="O69" s="776">
        <f t="array" ref="O69">SUM(($L69:$L69)*($L$11:$L$11))</f>
        <v>0</v>
      </c>
      <c r="P69" s="776">
        <f t="array" ref="P69">SUM(($M69:$M69)*($M$11:$M$11))</f>
        <v>0</v>
      </c>
      <c r="Q69" s="776">
        <f t="array" ref="Q69">IF(SUM(($F69:$K69)*($F$11:$K$11))&gt;0,100,0)</f>
        <v>0</v>
      </c>
      <c r="R69" s="584">
        <f t="array" ref="R69">IF(SUM(($L69:$L69)*($L$11:$L$11))&gt;0,100,0)</f>
        <v>0</v>
      </c>
      <c r="S69" s="431">
        <f t="array" ref="S69">IF(SUM(($M69:$M69)*($M$11:$M$11))&gt;0,100,0)</f>
        <v>0</v>
      </c>
    </row>
    <row r="70" spans="1:79" x14ac:dyDescent="0.2">
      <c r="A70" s="551" t="str">
        <f>IF(LEN(КАФЕДРА!A70)&gt;2,КАФЕДРА!A70,"")</f>
        <v>Медицинской реабилитологии с курсом ДПО</v>
      </c>
      <c r="B70" s="800" t="str">
        <f>КАФЕДРА!$D70</f>
        <v>КПСИХОЛОГИИ</v>
      </c>
      <c r="C70" s="201">
        <f t="shared" si="2"/>
        <v>0</v>
      </c>
      <c r="D70" s="206">
        <f t="array" ref="D70">IF(SUM(($F70:$K70)*($F$11:$K$11))&gt;0,1,0)+IF(SUM(($L70:$L70)*($L$11:$L$11))&gt;0,1,0)+IF(SUM(($M70:$M70)*($M$11:$M$11))&gt;0,1,0)</f>
        <v>0</v>
      </c>
      <c r="E70" s="1290">
        <f t="array" ref="E70">SUM(($F70:$M70)*($F$11:$M$11))</f>
        <v>0</v>
      </c>
      <c r="F70" s="1291"/>
      <c r="G70" s="1292"/>
      <c r="H70" s="1292"/>
      <c r="I70" s="1292"/>
      <c r="J70" s="1292"/>
      <c r="K70" s="1293"/>
      <c r="L70" s="1294"/>
      <c r="M70" s="1295"/>
      <c r="N70" s="776">
        <f t="array" ref="N70">SUM(($F70:$K70)*($F$11:$K$11))</f>
        <v>0</v>
      </c>
      <c r="O70" s="776">
        <f t="array" ref="O70">SUM(($L70:$L70)*($L$11:$L$11))</f>
        <v>0</v>
      </c>
      <c r="P70" s="776">
        <f t="array" ref="P70">SUM(($M70:$M70)*($M$11:$M$11))</f>
        <v>0</v>
      </c>
      <c r="Q70" s="776">
        <f t="array" ref="Q70">IF(SUM(($F70:$K70)*($F$11:$K$11))&gt;0,100,0)</f>
        <v>0</v>
      </c>
      <c r="R70" s="584">
        <f t="array" ref="R70">IF(SUM(($L70:$L70)*($L$11:$L$11))&gt;0,100,0)</f>
        <v>0</v>
      </c>
      <c r="S70" s="431">
        <f t="array" ref="S70">IF(SUM(($M70:$M70)*($M$11:$M$11))&gt;0,100,0)</f>
        <v>0</v>
      </c>
    </row>
    <row r="71" spans="1:79" x14ac:dyDescent="0.2">
      <c r="A71" s="551" t="str">
        <f>IF(LEN(КАФЕДРА!A71)&gt;2,КАФЕДРА!A71,"")</f>
        <v>Психиатрии, медицинской психологии и наркологии с курсом ДПО</v>
      </c>
      <c r="B71" s="800" t="str">
        <f>КАФЕДРА!$D71</f>
        <v>КПСИХОЛОГИИ</v>
      </c>
      <c r="C71" s="201">
        <f t="shared" si="2"/>
        <v>0</v>
      </c>
      <c r="D71" s="206">
        <f t="array" ref="D71">IF(SUM(($F71:$K71)*($F$11:$K$11))&gt;0,1,0)+IF(SUM(($L71:$L71)*($L$11:$L$11))&gt;0,1,0)+IF(SUM(($M71:$M71)*($M$11:$M$11))&gt;0,1,0)</f>
        <v>0</v>
      </c>
      <c r="E71" s="1290">
        <f t="array" ref="E71">SUM(($F71:$M71)*($F$11:$M$11))</f>
        <v>0</v>
      </c>
      <c r="F71" s="1291"/>
      <c r="G71" s="1292"/>
      <c r="H71" s="1292"/>
      <c r="I71" s="1292"/>
      <c r="J71" s="1292"/>
      <c r="K71" s="1293"/>
      <c r="L71" s="1294"/>
      <c r="M71" s="1295"/>
      <c r="N71" s="776">
        <f t="array" ref="N71">SUM(($F71:$K71)*($F$11:$K$11))</f>
        <v>0</v>
      </c>
      <c r="O71" s="776">
        <f t="array" ref="O71">SUM(($L71:$L71)*($L$11:$L$11))</f>
        <v>0</v>
      </c>
      <c r="P71" s="776">
        <f t="array" ref="P71">SUM(($M71:$M71)*($M$11:$M$11))</f>
        <v>0</v>
      </c>
      <c r="Q71" s="776">
        <f t="array" ref="Q71">IF(SUM(($F71:$K71)*($F$11:$K$11))&gt;0,100,0)</f>
        <v>0</v>
      </c>
      <c r="R71" s="584">
        <f t="array" ref="R71">IF(SUM(($L71:$L71)*($L$11:$L$11))&gt;0,100,0)</f>
        <v>0</v>
      </c>
      <c r="S71" s="431">
        <f t="array" ref="S71">IF(SUM(($M71:$M71)*($M$11:$M$11))&gt;0,100,0)</f>
        <v>0</v>
      </c>
    </row>
    <row r="72" spans="1:79" x14ac:dyDescent="0.2">
      <c r="A72" s="551" t="str">
        <f>IF(LEN(КАФЕДРА!A72)&gt;2,КАФЕДРА!A72,"")</f>
        <v>Философии</v>
      </c>
      <c r="B72" s="800" t="str">
        <f>КАФЕДРА!$D72</f>
        <v>КПСИХОЛОГИИ</v>
      </c>
      <c r="C72" s="201">
        <f t="shared" si="2"/>
        <v>0</v>
      </c>
      <c r="D72" s="742">
        <f t="array" ref="D72">IF(SUM(($F72:$K72)*($F$11:$K$11))&gt;0,1,0)+IF(SUM(($L72:$L72)*($L$11:$L$11))&gt;0,1,0)+IF(SUM(($M72:$M72)*($M$11:$M$11))&gt;0,1,0)</f>
        <v>0</v>
      </c>
      <c r="E72" s="1308">
        <f t="array" ref="E72">SUM(($F72:$M72)*($F$11:$M$11))</f>
        <v>0</v>
      </c>
      <c r="F72" s="1291"/>
      <c r="G72" s="1292"/>
      <c r="H72" s="1292"/>
      <c r="I72" s="1292"/>
      <c r="J72" s="1292"/>
      <c r="K72" s="1293"/>
      <c r="L72" s="1294"/>
      <c r="M72" s="1295"/>
      <c r="N72" s="399">
        <f t="array" ref="N72">SUM(($F72:$K72)*($F$11:$K$11))</f>
        <v>0</v>
      </c>
      <c r="O72" s="399">
        <f t="array" ref="O72">SUM(($L72:$L72)*($L$11:$L$11))</f>
        <v>0</v>
      </c>
      <c r="P72" s="399">
        <f t="array" ref="P72">SUM(($M72:$M72)*($M$11:$M$11))</f>
        <v>0</v>
      </c>
      <c r="Q72" s="399">
        <f t="array" ref="Q72">IF(SUM(($F72:$K72)*($F$11:$K$11))&gt;0,100,0)</f>
        <v>0</v>
      </c>
      <c r="R72" s="201">
        <f t="array" ref="R72">IF(SUM(($L72:$L72)*($L$11:$L$11))&gt;0,100,0)</f>
        <v>0</v>
      </c>
      <c r="S72" s="1309">
        <f t="array" ref="S72">IF(SUM(($M72:$M72)*($M$11:$M$11))&gt;0,100,0)</f>
        <v>0</v>
      </c>
    </row>
    <row r="73" spans="1:79" s="767" customFormat="1" ht="15" thickBot="1" x14ac:dyDescent="0.25">
      <c r="A73" s="578" t="str">
        <f>IF(LEN(КАФЕДРА!A73)&gt;2,КАФЕДРА!A73,"")</f>
        <v>Истории</v>
      </c>
      <c r="B73" s="801" t="str">
        <f>КАФЕДРА!$D73</f>
        <v>КПСИХОЛОГИИ</v>
      </c>
      <c r="C73" s="585">
        <f t="shared" si="2"/>
        <v>0</v>
      </c>
      <c r="D73" s="586">
        <f t="array" ref="D73">IF(SUM(($F73:$K73)*($F$11:$K$11))&gt;0,1,0)+IF(SUM(($L73:$L73)*($L$11:$L$11))&gt;0,1,0)+IF(SUM(($M73:$M73)*($M$11:$M$11))&gt;0,1,0)</f>
        <v>0</v>
      </c>
      <c r="E73" s="1296">
        <f t="array" ref="E73">SUM(($F73:$M73)*($F$11:$M$11))</f>
        <v>0</v>
      </c>
      <c r="F73" s="1297"/>
      <c r="G73" s="1298"/>
      <c r="H73" s="1298"/>
      <c r="I73" s="1298"/>
      <c r="J73" s="1298"/>
      <c r="K73" s="1299"/>
      <c r="L73" s="1300"/>
      <c r="M73" s="1301"/>
      <c r="N73" s="779">
        <f t="array" ref="N73">SUM(($F73:$K73)*($F$11:$K$11))</f>
        <v>0</v>
      </c>
      <c r="O73" s="779">
        <f t="array" ref="O73">SUM(($L73:$L73)*($L$11:$L$11))</f>
        <v>0</v>
      </c>
      <c r="P73" s="779">
        <f t="array" ref="P73">SUM(($M73:$M73)*($M$11:$M$11))</f>
        <v>0</v>
      </c>
      <c r="Q73" s="779">
        <f t="array" ref="Q73">IF(SUM(($F73:$K73)*($F$11:$K$11))&gt;0,100,0)</f>
        <v>0</v>
      </c>
      <c r="R73" s="585">
        <f t="array" ref="R73">IF(SUM(($L73:$L73)*($L$11:$L$11))&gt;0,100,0)</f>
        <v>0</v>
      </c>
      <c r="S73" s="1302">
        <f t="array" ref="S73">IF(SUM(($M73:$M73)*($M$11:$M$11))&gt;0,100,0)</f>
        <v>0</v>
      </c>
      <c r="W73" s="258"/>
    </row>
    <row r="74" spans="1:79" x14ac:dyDescent="0.2">
      <c r="A74" s="552" t="str">
        <f>IF(LEN(КАФЕДРА!A74)&gt;2,КАФЕДРА!A74,"")</f>
        <v>Иностранных языков с курсом латинского языка</v>
      </c>
      <c r="B74" s="795" t="str">
        <f>КАФЕДРА!$D74</f>
        <v>ФИС</v>
      </c>
      <c r="C74" s="584">
        <f t="shared" si="2"/>
        <v>0</v>
      </c>
      <c r="D74" s="206">
        <f t="array" ref="D74">IF(SUM(($F74:$K74)*($F$11:$K$11))&gt;0,1,0)+IF(SUM(($L74:$L74)*($L$11:$L$11))&gt;0,1,0)+IF(SUM(($M74:$M74)*($M$11:$M$11))&gt;0,1,0)</f>
        <v>0</v>
      </c>
      <c r="E74" s="1290">
        <f t="array" ref="E74">SUM(($F74:$M74)*($F$11:$M$11))</f>
        <v>0</v>
      </c>
      <c r="F74" s="1303"/>
      <c r="G74" s="1304"/>
      <c r="H74" s="1304"/>
      <c r="I74" s="1304"/>
      <c r="J74" s="1304"/>
      <c r="K74" s="1305"/>
      <c r="L74" s="1306"/>
      <c r="M74" s="1307"/>
      <c r="N74" s="776">
        <f t="array" ref="N74">SUM(($F74:$K74)*($F$11:$K$11))</f>
        <v>0</v>
      </c>
      <c r="O74" s="776">
        <f t="array" ref="O74">SUM(($L74:$L74)*($L$11:$L$11))</f>
        <v>0</v>
      </c>
      <c r="P74" s="776">
        <f t="array" ref="P74">SUM(($M74:$M74)*($M$11:$M$11))</f>
        <v>0</v>
      </c>
      <c r="Q74" s="776">
        <f t="array" ref="Q74">IF(SUM(($F74:$K74)*($F$11:$K$11))&gt;0,100,0)</f>
        <v>0</v>
      </c>
      <c r="R74" s="584">
        <f t="array" ref="R74">IF(SUM(($L74:$L74)*($L$11:$L$11))&gt;0,100,0)</f>
        <v>0</v>
      </c>
      <c r="S74" s="431">
        <f t="array" ref="S74">IF(SUM(($M74:$M74)*($M$11:$M$11))&gt;0,100,0)</f>
        <v>0</v>
      </c>
    </row>
    <row r="75" spans="1:79" ht="15" thickBot="1" x14ac:dyDescent="0.25">
      <c r="A75" s="578" t="str">
        <f>IF(LEN(КАФЕДРА!A75)&gt;2,КАФЕДРА!A75,"")</f>
        <v>Русского языка как иностранного</v>
      </c>
      <c r="B75" s="1453" t="str">
        <f>КАФЕДРА!$D75</f>
        <v>ФИС</v>
      </c>
      <c r="C75" s="585">
        <f t="shared" si="2"/>
        <v>0</v>
      </c>
      <c r="D75" s="586">
        <f t="array" ref="D75">IF(SUM(($F75:$K75)*($F$11:$K$11))&gt;0,1,0)+IF(SUM(($L75:$L75)*($L$11:$L$11))&gt;0,1,0)+IF(SUM(($M75:$M75)*($M$11:$M$11))&gt;0,1,0)</f>
        <v>0</v>
      </c>
      <c r="E75" s="1296">
        <f t="array" ref="E75">SUM(($F75:$M75)*($F$11:$M$11))</f>
        <v>0</v>
      </c>
      <c r="F75" s="1297"/>
      <c r="G75" s="1298"/>
      <c r="H75" s="1298"/>
      <c r="I75" s="1298"/>
      <c r="J75" s="1298"/>
      <c r="K75" s="1299"/>
      <c r="L75" s="1300"/>
      <c r="M75" s="1301"/>
      <c r="N75" s="779">
        <f t="array" ref="N75">SUM(($F75:$K75)*($F$11:$K$11))</f>
        <v>0</v>
      </c>
      <c r="O75" s="779">
        <f t="array" ref="O75">SUM(($L75:$L75)*($L$11:$L$11))</f>
        <v>0</v>
      </c>
      <c r="P75" s="779">
        <f t="array" ref="P75">SUM(($M75:$M75)*($M$11:$M$11))</f>
        <v>0</v>
      </c>
      <c r="Q75" s="779">
        <f t="array" ref="Q75">IF(SUM(($F75:$K75)*($F$11:$K$11))&gt;0,100,0)</f>
        <v>0</v>
      </c>
      <c r="R75" s="585">
        <f t="array" ref="R75">IF(SUM(($L75:$L75)*($L$11:$L$11))&gt;0,100,0)</f>
        <v>0</v>
      </c>
      <c r="S75" s="1302">
        <f t="array" ref="S75">IF(SUM(($M75:$M75)*($M$11:$M$11))&gt;0,100,0)</f>
        <v>0</v>
      </c>
      <c r="T75" s="372"/>
      <c r="U75" s="372"/>
      <c r="V75" s="372"/>
      <c r="W75" s="406"/>
      <c r="X75" s="372"/>
      <c r="Y75" s="372"/>
      <c r="Z75" s="372"/>
      <c r="AA75" s="372"/>
      <c r="AB75" s="372"/>
      <c r="AC75" s="372"/>
      <c r="AD75" s="372"/>
      <c r="AE75" s="372"/>
      <c r="AF75" s="372"/>
      <c r="AG75" s="372"/>
      <c r="AH75" s="372"/>
      <c r="AI75" s="372"/>
      <c r="AJ75" s="372"/>
      <c r="AK75" s="372"/>
      <c r="AL75" s="372"/>
      <c r="AM75" s="372"/>
      <c r="AN75" s="372"/>
      <c r="AO75" s="372"/>
      <c r="AP75" s="372"/>
      <c r="AQ75" s="372"/>
      <c r="AR75" s="372"/>
      <c r="AS75" s="372"/>
      <c r="AT75" s="372"/>
      <c r="AU75" s="372"/>
      <c r="AV75" s="372"/>
      <c r="AW75" s="372"/>
      <c r="AX75" s="372"/>
      <c r="AY75" s="372"/>
      <c r="AZ75" s="372"/>
      <c r="BA75" s="372"/>
      <c r="BB75" s="372"/>
      <c r="BC75" s="372"/>
      <c r="BD75" s="372"/>
      <c r="BE75" s="372"/>
      <c r="BF75" s="372"/>
      <c r="BG75" s="372"/>
      <c r="BH75" s="372"/>
      <c r="BI75" s="372"/>
      <c r="BJ75" s="372"/>
      <c r="BK75" s="372"/>
      <c r="BL75" s="372"/>
      <c r="BM75" s="372"/>
      <c r="BN75" s="372"/>
      <c r="BO75" s="372"/>
      <c r="BP75" s="372"/>
      <c r="BQ75" s="372"/>
      <c r="BR75" s="372"/>
      <c r="BS75" s="372"/>
      <c r="BT75" s="372"/>
      <c r="BU75" s="372"/>
      <c r="BV75" s="372"/>
      <c r="BW75" s="372"/>
      <c r="BX75" s="372"/>
      <c r="BY75" s="372"/>
      <c r="BZ75" s="372"/>
      <c r="CA75" s="372"/>
    </row>
    <row r="76" spans="1:79" s="372" customFormat="1" x14ac:dyDescent="0.2">
      <c r="A76" s="730" t="s">
        <v>501</v>
      </c>
      <c r="B76" s="1456" t="str">
        <f>КАФЕДРА!$D76</f>
        <v>ОиДПО</v>
      </c>
      <c r="C76" s="584">
        <f>IF($E76&gt;=200,100,$D76*100/3)</f>
        <v>0</v>
      </c>
      <c r="D76" s="206">
        <f t="array" ref="D76">IF(SUM(($F76:$K76)*($F$11:$K$11))&gt;0,1,0)+IF(SUM(($L76:$L76)*($L$11:$L$11))&gt;0,1,0)+IF(SUM(($M76:$M76)*($M$11:$M$11))&gt;0,1,0)</f>
        <v>0</v>
      </c>
      <c r="E76" s="776">
        <f t="array" ref="E76">SUM(($F76:$M76)*($F$11:$M$11))</f>
        <v>0</v>
      </c>
      <c r="F76" s="1304"/>
      <c r="G76" s="1304"/>
      <c r="H76" s="1304"/>
      <c r="I76" s="1304"/>
      <c r="J76" s="1304"/>
      <c r="K76" s="1289"/>
      <c r="L76" s="1474"/>
      <c r="M76" s="1473"/>
      <c r="N76" s="776">
        <f t="array" ref="N76">SUM(($F76:$K76)*($F$11:$K$11))</f>
        <v>0</v>
      </c>
      <c r="O76" s="776">
        <f t="array" ref="O76">SUM(($L76:$L76)*($L$11:$L$11))</f>
        <v>0</v>
      </c>
      <c r="P76" s="776">
        <f t="array" ref="P76">SUM(($M76:$M76)*($M$11:$M$11))</f>
        <v>0</v>
      </c>
      <c r="Q76" s="776">
        <f t="array" ref="Q76">IF(SUM(($F76:$K76)*($F$11:$K$11))&gt;0,100,0)</f>
        <v>0</v>
      </c>
      <c r="R76" s="584">
        <f t="array" ref="R76">IF(SUM(($L76:$L76)*($L$11:$L$11))&gt;0,100,0)</f>
        <v>0</v>
      </c>
      <c r="S76" s="431">
        <f t="array" ref="S76">IF(SUM(($M76:$M76)*($M$11:$M$11))&gt;0,100,0)</f>
        <v>0</v>
      </c>
      <c r="W76" s="406"/>
    </row>
    <row r="77" spans="1:79" s="372" customFormat="1" ht="15" thickBot="1" x14ac:dyDescent="0.25">
      <c r="A77" s="1199" t="s">
        <v>502</v>
      </c>
      <c r="B77" s="1475" t="str">
        <f>КАФЕДРА!$D77</f>
        <v>ОиДПО</v>
      </c>
      <c r="C77" s="585">
        <f>IF($E77&gt;=200,100,$D77*100/3)</f>
        <v>0</v>
      </c>
      <c r="D77" s="586">
        <f t="array" ref="D77">IF(SUM(($F77:$K77)*($F$11:$K$11))&gt;0,1,0)+IF(SUM(($L77:$L77)*($L$11:$L$11))&gt;0,1,0)+IF(SUM(($M77:$M77)*($M$11:$M$11))&gt;0,1,0)</f>
        <v>0</v>
      </c>
      <c r="E77" s="779">
        <f t="array" ref="E77">SUM(($F77:$M77)*($F$11:$M$11))</f>
        <v>0</v>
      </c>
      <c r="F77" s="1298"/>
      <c r="G77" s="1298"/>
      <c r="H77" s="1298"/>
      <c r="I77" s="1298"/>
      <c r="J77" s="1298"/>
      <c r="K77" s="1299"/>
      <c r="L77" s="1476"/>
      <c r="M77" s="1301"/>
      <c r="N77" s="779">
        <f t="array" ref="N77">SUM(($F77:$K77)*($F$11:$K$11))</f>
        <v>0</v>
      </c>
      <c r="O77" s="779">
        <f t="array" ref="O77">SUM(($L77:$L77)*($L$11:$L$11))</f>
        <v>0</v>
      </c>
      <c r="P77" s="779">
        <f t="array" ref="P77">SUM(($M77:$M77)*($M$11:$M$11))</f>
        <v>0</v>
      </c>
      <c r="Q77" s="779">
        <f t="array" ref="Q77">IF(SUM(($F77:$K77)*($F$11:$K$11))&gt;0,100,0)</f>
        <v>0</v>
      </c>
      <c r="R77" s="585">
        <f t="array" ref="R77">IF(SUM(($L77:$L77)*($L$11:$L$11))&gt;0,100,0)</f>
        <v>0</v>
      </c>
      <c r="S77" s="1302">
        <f t="array" ref="S77">IF(SUM(($M77:$M77)*($M$11:$M$11))&gt;0,100,0)</f>
        <v>0</v>
      </c>
      <c r="W77" s="406"/>
    </row>
    <row r="78" spans="1:79" s="372" customFormat="1" x14ac:dyDescent="0.2">
      <c r="A78" s="371"/>
      <c r="B78" s="406"/>
      <c r="W78" s="406"/>
    </row>
  </sheetData>
  <mergeCells count="1">
    <mergeCell ref="F9:K9"/>
  </mergeCells>
  <hyperlinks>
    <hyperlink ref="A6" location="КАФЕДРА!R21C107" display="← на общую страницу"/>
  </hyperlinks>
  <pageMargins left="0.23622047244094491" right="0.23622047244094491" top="0.55118110236220474" bottom="0.15748031496062992" header="0.19685039370078741" footer="0.11811023622047245"/>
  <pageSetup paperSize="9" scale="3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4">
    <tabColor theme="6"/>
  </sheetPr>
  <dimension ref="A1:AM81"/>
  <sheetViews>
    <sheetView topLeftCell="A4" zoomScale="90" zoomScaleNormal="90" zoomScaleSheetLayoutView="80" workbookViewId="0">
      <selection activeCell="E29" sqref="E29"/>
    </sheetView>
  </sheetViews>
  <sheetFormatPr defaultColWidth="9.140625" defaultRowHeight="14.25" x14ac:dyDescent="0.2"/>
  <cols>
    <col min="1" max="1" width="50.7109375" style="182" customWidth="1"/>
    <col min="2" max="2" width="16.7109375" style="182" customWidth="1"/>
    <col min="3" max="3" width="7.85546875" style="182" customWidth="1"/>
    <col min="4" max="16" width="13.7109375" style="182" customWidth="1"/>
    <col min="17" max="17" width="13.7109375" style="182" hidden="1" customWidth="1"/>
    <col min="18" max="19" width="15.7109375" style="182" hidden="1" customWidth="1"/>
    <col min="20" max="20" width="10.42578125" style="182" bestFit="1" customWidth="1"/>
    <col min="21" max="16384" width="9.140625" style="182"/>
  </cols>
  <sheetData>
    <row r="1" spans="1:19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182" t="s">
        <v>269</v>
      </c>
      <c r="E1" s="182" t="s">
        <v>270</v>
      </c>
      <c r="F1" s="182" t="s">
        <v>271</v>
      </c>
      <c r="G1" s="182" t="s">
        <v>272</v>
      </c>
      <c r="H1" s="182" t="s">
        <v>273</v>
      </c>
      <c r="I1" s="182" t="s">
        <v>270</v>
      </c>
      <c r="J1" s="182" t="s">
        <v>271</v>
      </c>
      <c r="K1" s="182" t="s">
        <v>272</v>
      </c>
      <c r="L1" s="182" t="s">
        <v>273</v>
      </c>
      <c r="M1" s="182" t="s">
        <v>274</v>
      </c>
      <c r="N1" s="182" t="s">
        <v>275</v>
      </c>
      <c r="O1" s="182" t="s">
        <v>276</v>
      </c>
      <c r="P1" s="182" t="s">
        <v>277</v>
      </c>
      <c r="Q1" s="181"/>
    </row>
    <row r="2" spans="1:19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  <c r="I2" s="182">
        <v>1</v>
      </c>
      <c r="J2" s="182">
        <v>2</v>
      </c>
      <c r="K2" s="182">
        <v>3</v>
      </c>
      <c r="L2" s="182">
        <v>4</v>
      </c>
    </row>
    <row r="3" spans="1:19" hidden="1" x14ac:dyDescent="0.2"/>
    <row r="4" spans="1:19" s="293" customFormat="1" x14ac:dyDescent="0.2"/>
    <row r="5" spans="1:19" ht="22.5" x14ac:dyDescent="0.3">
      <c r="A5" s="209" t="s">
        <v>267</v>
      </c>
      <c r="G5" s="257"/>
      <c r="I5" s="183" t="s">
        <v>76</v>
      </c>
      <c r="K5" s="767"/>
      <c r="M5" s="183"/>
    </row>
    <row r="6" spans="1:19" ht="17.25" customHeight="1" x14ac:dyDescent="0.35">
      <c r="A6" s="183" t="s">
        <v>76</v>
      </c>
      <c r="G6" s="774"/>
      <c r="I6" s="415" t="s">
        <v>299</v>
      </c>
    </row>
    <row r="7" spans="1:19" ht="18" x14ac:dyDescent="0.25">
      <c r="A7" s="477" t="s">
        <v>242</v>
      </c>
      <c r="I7" s="185" t="s">
        <v>266</v>
      </c>
    </row>
    <row r="8" spans="1:19" ht="19.5" customHeight="1" x14ac:dyDescent="0.25">
      <c r="A8" s="1223">
        <f ca="1">NOW()</f>
        <v>45929.466219097223</v>
      </c>
      <c r="B8" s="767"/>
      <c r="C8" s="767"/>
      <c r="D8" s="2281" t="s">
        <v>264</v>
      </c>
      <c r="E8" s="2282"/>
      <c r="F8" s="2282"/>
      <c r="G8" s="2282"/>
      <c r="H8" s="2283"/>
      <c r="I8" s="2287" t="s">
        <v>280</v>
      </c>
      <c r="J8" s="2287"/>
      <c r="K8" s="2287"/>
      <c r="L8" s="2287"/>
      <c r="M8" s="2287"/>
      <c r="N8" s="2287"/>
      <c r="O8" s="2287"/>
      <c r="P8" s="2287"/>
      <c r="Q8" s="962"/>
      <c r="R8" s="767"/>
      <c r="S8" s="767"/>
    </row>
    <row r="9" spans="1:19" s="267" customFormat="1" ht="80.099999999999994" customHeight="1" x14ac:dyDescent="0.25">
      <c r="A9" s="1224" t="str">
        <f>ТИТУЛ!$B$22&amp;" квартал "&amp;ТИТУЛ!$D$22&amp;" года"</f>
        <v>2 квартал 2024 года</v>
      </c>
      <c r="D9" s="2284"/>
      <c r="E9" s="2285"/>
      <c r="F9" s="2285"/>
      <c r="G9" s="2285"/>
      <c r="H9" s="2286"/>
      <c r="I9" s="2288" t="s">
        <v>596</v>
      </c>
      <c r="J9" s="2289"/>
      <c r="K9" s="2289"/>
      <c r="L9" s="2290"/>
      <c r="M9" s="2291" t="s">
        <v>597</v>
      </c>
      <c r="N9" s="2292"/>
      <c r="O9" s="2292"/>
      <c r="P9" s="2293"/>
      <c r="Q9" s="1081" t="s">
        <v>594</v>
      </c>
      <c r="R9" s="2279" t="s">
        <v>595</v>
      </c>
      <c r="S9" s="2280"/>
    </row>
    <row r="10" spans="1:19" ht="13.5" hidden="1" customHeight="1" x14ac:dyDescent="0.2">
      <c r="A10" s="1225"/>
      <c r="B10" s="188"/>
      <c r="C10" s="188"/>
      <c r="D10" s="435"/>
      <c r="E10" s="435"/>
      <c r="F10" s="435"/>
      <c r="G10" s="435"/>
      <c r="H10" s="435"/>
      <c r="I10" s="435"/>
      <c r="J10" s="435"/>
      <c r="K10" s="435"/>
      <c r="L10" s="435"/>
      <c r="M10" s="435"/>
      <c r="N10" s="435"/>
      <c r="O10" s="435"/>
      <c r="P10" s="435"/>
      <c r="Q10" s="767"/>
      <c r="R10" s="767"/>
      <c r="S10" s="767"/>
    </row>
    <row r="11" spans="1:19" ht="13.5" hidden="1" customHeight="1" x14ac:dyDescent="0.2">
      <c r="A11" s="1225"/>
      <c r="B11" s="188"/>
      <c r="C11" s="188"/>
      <c r="D11" s="806"/>
      <c r="E11" s="806">
        <f>I11</f>
        <v>1</v>
      </c>
      <c r="F11" s="806">
        <f>J11</f>
        <v>1</v>
      </c>
      <c r="G11" s="806">
        <f>K11</f>
        <v>0</v>
      </c>
      <c r="H11" s="806">
        <f>L11</f>
        <v>0</v>
      </c>
      <c r="I11" s="806">
        <f>IF(ТИТУЛ!$B$22&gt;=I$2,1,0)</f>
        <v>1</v>
      </c>
      <c r="J11" s="806">
        <f>IF(ТИТУЛ!$B$22&gt;=J$2,1,0)</f>
        <v>1</v>
      </c>
      <c r="K11" s="806">
        <f>IF(ТИТУЛ!$B$22&gt;=K$2,1,0)</f>
        <v>0</v>
      </c>
      <c r="L11" s="806">
        <f>IF(ТИТУЛ!$B$22&gt;=L$2,1,0)</f>
        <v>0</v>
      </c>
      <c r="M11" s="806">
        <f>I11</f>
        <v>1</v>
      </c>
      <c r="N11" s="806">
        <f>J11</f>
        <v>1</v>
      </c>
      <c r="O11" s="806">
        <f>K11</f>
        <v>0</v>
      </c>
      <c r="P11" s="806">
        <f>L11</f>
        <v>0</v>
      </c>
      <c r="Q11" s="767"/>
      <c r="R11" s="767"/>
      <c r="S11" s="767"/>
    </row>
    <row r="12" spans="1:19" ht="15.75" hidden="1" customHeight="1" x14ac:dyDescent="0.2">
      <c r="A12" s="189"/>
      <c r="B12" s="189"/>
      <c r="C12" s="189"/>
      <c r="D12" s="189" t="s">
        <v>598</v>
      </c>
      <c r="E12" s="189" t="s">
        <v>600</v>
      </c>
      <c r="F12" s="189" t="s">
        <v>601</v>
      </c>
      <c r="G12" s="189" t="s">
        <v>602</v>
      </c>
      <c r="H12" s="189" t="s">
        <v>603</v>
      </c>
      <c r="I12" s="189" t="s">
        <v>598</v>
      </c>
      <c r="J12" s="189" t="s">
        <v>598</v>
      </c>
      <c r="K12" s="189" t="s">
        <v>598</v>
      </c>
      <c r="L12" s="189" t="s">
        <v>598</v>
      </c>
      <c r="M12" s="1226" t="s">
        <v>599</v>
      </c>
      <c r="N12" s="1226" t="s">
        <v>599</v>
      </c>
      <c r="O12" s="1226" t="s">
        <v>599</v>
      </c>
      <c r="P12" s="1226" t="s">
        <v>599</v>
      </c>
      <c r="Q12" s="258" t="s">
        <v>598</v>
      </c>
      <c r="R12" s="258" t="s">
        <v>598</v>
      </c>
      <c r="S12" s="258" t="s">
        <v>599</v>
      </c>
    </row>
    <row r="13" spans="1:19" ht="120" customHeight="1" x14ac:dyDescent="0.2">
      <c r="A13" s="191" t="str">
        <f>КАФЕДРА!A10</f>
        <v>Наименование кафедры</v>
      </c>
      <c r="B13" s="1227" t="s">
        <v>327</v>
      </c>
      <c r="C13" s="192" t="s">
        <v>32</v>
      </c>
      <c r="D13" s="192" t="s">
        <v>693</v>
      </c>
      <c r="E13" s="563" t="s">
        <v>689</v>
      </c>
      <c r="F13" s="687" t="s">
        <v>690</v>
      </c>
      <c r="G13" s="563" t="s">
        <v>691</v>
      </c>
      <c r="H13" s="563" t="s">
        <v>692</v>
      </c>
      <c r="I13" s="563" t="s">
        <v>149</v>
      </c>
      <c r="J13" s="687" t="s">
        <v>150</v>
      </c>
      <c r="K13" s="563" t="s">
        <v>151</v>
      </c>
      <c r="L13" s="563" t="s">
        <v>152</v>
      </c>
      <c r="M13" s="687" t="s">
        <v>149</v>
      </c>
      <c r="N13" s="1228" t="s">
        <v>150</v>
      </c>
      <c r="O13" s="1228" t="s">
        <v>151</v>
      </c>
      <c r="P13" s="1228" t="s">
        <v>152</v>
      </c>
      <c r="Q13" s="192" t="s">
        <v>343</v>
      </c>
      <c r="R13" s="192" t="s">
        <v>342</v>
      </c>
      <c r="S13" s="192" t="s">
        <v>344</v>
      </c>
    </row>
    <row r="14" spans="1:19" hidden="1" x14ac:dyDescent="0.2">
      <c r="A14" s="195"/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768"/>
      <c r="M14" s="195"/>
      <c r="N14" s="195"/>
      <c r="O14" s="195"/>
      <c r="P14" s="195"/>
      <c r="Q14" s="767"/>
      <c r="R14" s="767"/>
      <c r="S14" s="767"/>
    </row>
    <row r="15" spans="1:19" hidden="1" x14ac:dyDescent="0.2">
      <c r="A15" s="195"/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768"/>
      <c r="M15" s="195"/>
      <c r="N15" s="195"/>
      <c r="O15" s="195"/>
      <c r="P15" s="195"/>
      <c r="Q15" s="767"/>
      <c r="R15" s="767"/>
      <c r="S15" s="767"/>
    </row>
    <row r="16" spans="1:19" hidden="1" x14ac:dyDescent="0.2">
      <c r="A16" s="195"/>
      <c r="B16" s="195"/>
      <c r="C16" s="195"/>
      <c r="D16" s="195"/>
      <c r="E16" s="195"/>
      <c r="F16" s="195"/>
      <c r="G16" s="195"/>
      <c r="H16" s="195"/>
      <c r="I16" s="195"/>
      <c r="J16" s="195"/>
      <c r="K16" s="195"/>
      <c r="L16" s="768"/>
      <c r="M16" s="195"/>
      <c r="N16" s="195"/>
      <c r="O16" s="195"/>
      <c r="P16" s="195"/>
      <c r="Q16" s="767"/>
      <c r="R16" s="767"/>
      <c r="S16" s="767"/>
    </row>
    <row r="17" spans="1:39" hidden="1" x14ac:dyDescent="0.2">
      <c r="A17" s="195"/>
      <c r="B17" s="195"/>
      <c r="C17" s="195"/>
      <c r="D17" s="195"/>
      <c r="E17" s="195"/>
      <c r="F17" s="195"/>
      <c r="G17" s="195"/>
      <c r="H17" s="195"/>
      <c r="I17" s="195"/>
      <c r="J17" s="195"/>
      <c r="K17" s="195"/>
      <c r="L17" s="768"/>
      <c r="M17" s="195"/>
      <c r="N17" s="195"/>
      <c r="O17" s="195"/>
      <c r="P17" s="195"/>
      <c r="Q17" s="767"/>
      <c r="R17" s="767"/>
      <c r="S17" s="767"/>
    </row>
    <row r="18" spans="1:39" ht="6.75" hidden="1" customHeight="1" x14ac:dyDescent="0.2">
      <c r="A18" s="197"/>
      <c r="B18" s="197"/>
      <c r="C18" s="197"/>
      <c r="D18" s="199"/>
      <c r="E18" s="199"/>
      <c r="F18" s="199"/>
      <c r="G18" s="199"/>
      <c r="H18" s="199"/>
      <c r="I18" s="197"/>
      <c r="J18" s="197"/>
      <c r="K18" s="197"/>
      <c r="L18" s="769"/>
      <c r="M18" s="197"/>
      <c r="N18" s="197"/>
      <c r="O18" s="197"/>
      <c r="P18" s="197"/>
      <c r="Q18" s="199"/>
      <c r="R18" s="199"/>
      <c r="S18" s="199"/>
    </row>
    <row r="19" spans="1:39" x14ac:dyDescent="0.2">
      <c r="A19" s="200" t="str">
        <f>КАФЕДРА!A19</f>
        <v>сумма по кафедрам (проверочная)</v>
      </c>
      <c r="B19" s="200"/>
      <c r="C19" s="433">
        <f>IF(LEN(КАФЕДРА!$A19)&gt;2,КАФЕДРА!C19,0)</f>
        <v>0</v>
      </c>
      <c r="D19" s="871">
        <f>SUM(D20:D77)</f>
        <v>5982000</v>
      </c>
      <c r="E19" s="871">
        <f>SUM(E20:E77)</f>
        <v>5982000</v>
      </c>
      <c r="F19" s="871">
        <f>SUM(F20:F77)</f>
        <v>0</v>
      </c>
      <c r="G19" s="871">
        <f>SUM(G20:G77)</f>
        <v>0</v>
      </c>
      <c r="H19" s="871">
        <f>SUM(H20:H77)</f>
        <v>0</v>
      </c>
      <c r="I19" s="953">
        <f t="shared" ref="I19:P19" si="0">SUM(I20:I77)</f>
        <v>7213581</v>
      </c>
      <c r="J19" s="953">
        <f t="shared" si="0"/>
        <v>0</v>
      </c>
      <c r="K19" s="953">
        <f t="shared" si="0"/>
        <v>0</v>
      </c>
      <c r="L19" s="772">
        <f t="shared" si="0"/>
        <v>0</v>
      </c>
      <c r="M19" s="680">
        <f t="shared" si="0"/>
        <v>5497524.4199999999</v>
      </c>
      <c r="N19" s="953">
        <f t="shared" si="0"/>
        <v>6766137.8599999994</v>
      </c>
      <c r="O19" s="953">
        <f t="shared" si="0"/>
        <v>5031800</v>
      </c>
      <c r="P19" s="953">
        <f t="shared" si="0"/>
        <v>4139785.5899999994</v>
      </c>
      <c r="Q19" s="720">
        <f t="array" ref="Q19">IF(D19&lt;&gt;0,SUM(($I19:$P19)*($I$12:$P$12=Q$12))/D19*100,нет)</f>
        <v>120.58811434302909</v>
      </c>
      <c r="R19" s="720">
        <f t="array" ref="R19">SUM(($I19:$P19)*($I$12:$P$12=R$12)*($I$11:$P$11))</f>
        <v>7213581</v>
      </c>
      <c r="S19" s="720">
        <f t="array" ref="S19">SUM(($I19:$P19)*($I$12:$P$12=S$12)*($I$11:$P$11))</f>
        <v>12263662.279999999</v>
      </c>
    </row>
    <row r="20" spans="1:39" x14ac:dyDescent="0.2">
      <c r="A20" s="551" t="str">
        <f>IF(LEN(КАФЕДРА!A20)&gt;2,КАФЕДРА!A20,"")</f>
        <v>Акушерства и гинекологии с курсом ДПО</v>
      </c>
      <c r="B20" s="442" t="str">
        <f>КАФЕДРА!$D20</f>
        <v>КМЕДИЦИНЫ</v>
      </c>
      <c r="C20" s="960">
        <f>IF(LEN(КАФЕДРА!$A20)&gt;2,КАФЕДРА!C20,0)</f>
        <v>0</v>
      </c>
      <c r="D20" s="867">
        <f>SUM(E20:H20)</f>
        <v>80000</v>
      </c>
      <c r="E20" s="1929">
        <v>80000</v>
      </c>
      <c r="F20" s="1903"/>
      <c r="G20" s="1903"/>
      <c r="H20" s="1916"/>
      <c r="I20" s="1933">
        <v>0</v>
      </c>
      <c r="J20" s="1917"/>
      <c r="K20" s="1917"/>
      <c r="L20" s="1918"/>
      <c r="M20" s="1229">
        <v>27900</v>
      </c>
      <c r="N20" s="869">
        <v>78711.45</v>
      </c>
      <c r="O20" s="869"/>
      <c r="P20" s="869">
        <v>34500</v>
      </c>
      <c r="Q20" s="721">
        <f t="array" ref="Q20">IF(D20&lt;&gt;0,SUM(($I20:$P20)*($I$12:$P$12=Q$12))/D20*100,нет)</f>
        <v>0</v>
      </c>
      <c r="R20" s="721">
        <f t="array" ref="R20">SUM(($I20:$P20)*($I$12:$P$12=R$12)*($I$11:$P$11))</f>
        <v>0</v>
      </c>
      <c r="S20" s="721">
        <f t="array" ref="S20">SUM(($I20:$P20)*($I$12:$P$12=S$12)*($I$11:$P$11))</f>
        <v>106611.45</v>
      </c>
      <c r="T20" s="872"/>
      <c r="AM20" s="262" t="e">
        <f>#REF!</f>
        <v>#REF!</v>
      </c>
    </row>
    <row r="21" spans="1:39" x14ac:dyDescent="0.2">
      <c r="A21" s="551" t="str">
        <f>IF(LEN(КАФЕДРА!A21)&gt;2,КАФЕДРА!A21,"")</f>
        <v>Анатомии</v>
      </c>
      <c r="B21" s="442" t="str">
        <f>КАФЕДРА!$D21</f>
        <v>КМЕДИЦИНЫ</v>
      </c>
      <c r="C21" s="960">
        <f>IF(LEN(КАФЕДРА!$A21)&gt;2,КАФЕДРА!C21,0)</f>
        <v>0</v>
      </c>
      <c r="D21" s="867">
        <f t="shared" ref="D21:D75" si="1">SUM(E21:H21)</f>
        <v>0</v>
      </c>
      <c r="E21" s="1929"/>
      <c r="F21" s="1903"/>
      <c r="G21" s="1903"/>
      <c r="H21" s="1916"/>
      <c r="I21" s="1933"/>
      <c r="J21" s="1917"/>
      <c r="K21" s="1917"/>
      <c r="L21" s="1918"/>
      <c r="M21" s="1229"/>
      <c r="N21" s="869"/>
      <c r="O21" s="869"/>
      <c r="P21" s="869"/>
      <c r="Q21" s="721" t="str">
        <f t="array" ref="Q21">IF(D21&lt;&gt;0,SUM(($I21:$P21)*($I$12:$P$12=Q$12))/D21*100,нет)</f>
        <v>нет</v>
      </c>
      <c r="R21" s="721">
        <f t="array" ref="R21">SUM(($I21:$P21)*($I$12:$P$12=R$12)*($I$11:$P$11))</f>
        <v>0</v>
      </c>
      <c r="S21" s="721">
        <f t="array" ref="S21">SUM(($I21:$P21)*($I$12:$P$12=S$12)*($I$11:$P$11))</f>
        <v>0</v>
      </c>
    </row>
    <row r="22" spans="1:39" x14ac:dyDescent="0.2">
      <c r="A22" s="551" t="str">
        <f>IF(LEN(КАФЕДРА!A22)&gt;2,КАФЕДРА!A22,"")</f>
        <v>Анестезиологии и реаниматологии с курсом ДПО</v>
      </c>
      <c r="B22" s="442" t="str">
        <f>КАФЕДРА!$D22</f>
        <v>КМЕДИЦИНЫ</v>
      </c>
      <c r="C22" s="960">
        <f>IF(LEN(КАФЕДРА!$A22)&gt;2,КАФЕДРА!C22,0)</f>
        <v>0</v>
      </c>
      <c r="D22" s="867">
        <f t="shared" si="1"/>
        <v>400000</v>
      </c>
      <c r="E22" s="1929">
        <v>400000</v>
      </c>
      <c r="F22" s="1903"/>
      <c r="G22" s="1903"/>
      <c r="H22" s="1916"/>
      <c r="I22" s="1933">
        <v>208802</v>
      </c>
      <c r="J22" s="1917"/>
      <c r="K22" s="1917"/>
      <c r="L22" s="1918"/>
      <c r="M22" s="1229">
        <v>385676.24</v>
      </c>
      <c r="N22" s="869">
        <v>637791.48</v>
      </c>
      <c r="O22" s="869">
        <v>1025800</v>
      </c>
      <c r="P22" s="869">
        <v>122000</v>
      </c>
      <c r="Q22" s="721">
        <f t="array" ref="Q22">IF(D22&lt;&gt;0,SUM(($I22:$P22)*($I$12:$P$12=Q$12))/D22*100,нет)</f>
        <v>52.200500000000005</v>
      </c>
      <c r="R22" s="721">
        <f t="array" ref="R22">SUM(($I22:$P22)*($I$12:$P$12=R$12)*($I$11:$P$11))</f>
        <v>208802</v>
      </c>
      <c r="S22" s="721">
        <f t="array" ref="S22">SUM(($I22:$P22)*($I$12:$P$12=S$12)*($I$11:$P$11))</f>
        <v>1023467.72</v>
      </c>
    </row>
    <row r="23" spans="1:39" x14ac:dyDescent="0.2">
      <c r="A23" s="551" t="str">
        <f>IF(LEN(КАФЕДРА!A23)&gt;2,КАФЕДРА!A23,"")</f>
        <v>Госпитальной терапии и эндокринологии</v>
      </c>
      <c r="B23" s="442" t="str">
        <f>КАФЕДРА!$D23</f>
        <v>КМЕДИЦИНЫ</v>
      </c>
      <c r="C23" s="960">
        <f>IF(LEN(КАФЕДРА!$A23)&gt;2,КАФЕДРА!C23,0)</f>
        <v>0</v>
      </c>
      <c r="D23" s="867">
        <f t="shared" si="1"/>
        <v>100000</v>
      </c>
      <c r="E23" s="1929">
        <v>100000</v>
      </c>
      <c r="F23" s="1903"/>
      <c r="G23" s="1903"/>
      <c r="H23" s="1916"/>
      <c r="I23" s="1933">
        <v>1613</v>
      </c>
      <c r="J23" s="1917"/>
      <c r="K23" s="1917"/>
      <c r="L23" s="1918"/>
      <c r="M23" s="1229"/>
      <c r="N23" s="869"/>
      <c r="O23" s="869">
        <v>54000</v>
      </c>
      <c r="P23" s="869">
        <v>13800</v>
      </c>
      <c r="Q23" s="721">
        <f t="array" ref="Q23">IF(D23&lt;&gt;0,SUM(($I23:$P23)*($I$12:$P$12=Q$12))/D23*100,нет)</f>
        <v>1.6129999999999998</v>
      </c>
      <c r="R23" s="721">
        <f t="array" ref="R23">SUM(($I23:$P23)*($I$12:$P$12=R$12)*($I$11:$P$11))</f>
        <v>1613</v>
      </c>
      <c r="S23" s="721">
        <f t="array" ref="S23">SUM(($I23:$P23)*($I$12:$P$12=S$12)*($I$11:$P$11))</f>
        <v>0</v>
      </c>
    </row>
    <row r="24" spans="1:39" x14ac:dyDescent="0.2">
      <c r="A24" s="551" t="str">
        <f>IF(LEN(КАФЕДРА!A24)&gt;2,КАФЕДРА!A24,"")</f>
        <v>Госпитальной хирургии</v>
      </c>
      <c r="B24" s="442" t="str">
        <f>КАФЕДРА!$D24</f>
        <v>КМЕДИЦИНЫ</v>
      </c>
      <c r="C24" s="960">
        <f>IF(LEN(КАФЕДРА!$A24)&gt;2,КАФЕДРА!C24,0)</f>
        <v>0</v>
      </c>
      <c r="D24" s="867">
        <f t="shared" si="1"/>
        <v>20000</v>
      </c>
      <c r="E24" s="1929">
        <v>20000</v>
      </c>
      <c r="F24" s="1903"/>
      <c r="G24" s="1903"/>
      <c r="H24" s="1916"/>
      <c r="I24" s="1933">
        <v>243000</v>
      </c>
      <c r="J24" s="1917"/>
      <c r="K24" s="1917"/>
      <c r="L24" s="1918"/>
      <c r="M24" s="1229"/>
      <c r="N24" s="869"/>
      <c r="O24" s="869"/>
      <c r="P24" s="869">
        <v>7000</v>
      </c>
      <c r="Q24" s="721">
        <f t="array" ref="Q24">IF(D24&lt;&gt;0,SUM(($I24:$P24)*($I$12:$P$12=Q$12))/D24*100,нет)</f>
        <v>1215</v>
      </c>
      <c r="R24" s="721">
        <f t="array" ref="R24">SUM(($I24:$P24)*($I$12:$P$12=R$12)*($I$11:$P$11))</f>
        <v>243000</v>
      </c>
      <c r="S24" s="721">
        <f t="array" ref="S24">SUM(($I24:$P24)*($I$12:$P$12=S$12)*($I$11:$P$11))</f>
        <v>0</v>
      </c>
    </row>
    <row r="25" spans="1:39" x14ac:dyDescent="0.2">
      <c r="A25" s="551" t="str">
        <f>IF(LEN(КАФЕДРА!A25)&gt;2,КАФЕДРА!A25,"")</f>
        <v>Неврологии и Нейрохирургии с курсом ДПО</v>
      </c>
      <c r="B25" s="442" t="str">
        <f>КАФЕДРА!$D25</f>
        <v>КМЕДИЦИНЫ</v>
      </c>
      <c r="C25" s="960">
        <f>IF(LEN(КАФЕДРА!$A25)&gt;2,КАФЕДРА!C25,0)</f>
        <v>0</v>
      </c>
      <c r="D25" s="867">
        <f t="shared" si="1"/>
        <v>100000</v>
      </c>
      <c r="E25" s="1929">
        <v>100000</v>
      </c>
      <c r="F25" s="1903"/>
      <c r="G25" s="1903"/>
      <c r="H25" s="1916"/>
      <c r="I25" s="1933">
        <v>95420</v>
      </c>
      <c r="J25" s="1917"/>
      <c r="K25" s="1917"/>
      <c r="L25" s="1918"/>
      <c r="M25" s="1229">
        <v>5200</v>
      </c>
      <c r="N25" s="869">
        <v>28400</v>
      </c>
      <c r="O25" s="869">
        <v>17400</v>
      </c>
      <c r="P25" s="869">
        <v>69803.38</v>
      </c>
      <c r="Q25" s="721">
        <f t="array" ref="Q25">IF(D25&lt;&gt;0,SUM(($I25:$P25)*($I$12:$P$12=Q$12))/D25*100,нет)</f>
        <v>95.42</v>
      </c>
      <c r="R25" s="721">
        <f t="array" ref="R25">SUM(($I25:$P25)*($I$12:$P$12=R$12)*($I$11:$P$11))</f>
        <v>95420</v>
      </c>
      <c r="S25" s="721">
        <f t="array" ref="S25">SUM(($I25:$P25)*($I$12:$P$12=S$12)*($I$11:$P$11))</f>
        <v>33600</v>
      </c>
    </row>
    <row r="26" spans="1:39" x14ac:dyDescent="0.2">
      <c r="A26" s="551" t="str">
        <f>IF(LEN(КАФЕДРА!A26)&gt;2,КАФЕДРА!A26,"")</f>
        <v>Нормальной физиологии</v>
      </c>
      <c r="B26" s="442" t="str">
        <f>КАФЕДРА!$D26</f>
        <v>КМЕДИЦИНЫ</v>
      </c>
      <c r="C26" s="960">
        <f>IF(LEN(КАФЕДРА!$A26)&gt;2,КАФЕДРА!C26,0)</f>
        <v>0</v>
      </c>
      <c r="D26" s="867">
        <f t="shared" si="1"/>
        <v>0</v>
      </c>
      <c r="E26" s="1929"/>
      <c r="F26" s="1903"/>
      <c r="G26" s="1903"/>
      <c r="H26" s="1916"/>
      <c r="I26" s="1933"/>
      <c r="J26" s="1917"/>
      <c r="K26" s="1917"/>
      <c r="L26" s="1918"/>
      <c r="M26" s="1229"/>
      <c r="N26" s="869"/>
      <c r="O26" s="869"/>
      <c r="P26" s="869"/>
      <c r="Q26" s="721" t="str">
        <f t="array" ref="Q26">IF(D26&lt;&gt;0,SUM(($I26:$P26)*($I$12:$P$12=Q$12))/D26*100,нет)</f>
        <v>нет</v>
      </c>
      <c r="R26" s="721">
        <f t="array" ref="R26">SUM(($I26:$P26)*($I$12:$P$12=R$12)*($I$11:$P$11))</f>
        <v>0</v>
      </c>
      <c r="S26" s="721">
        <f t="array" ref="S26">SUM(($I26:$P26)*($I$12:$P$12=S$12)*($I$11:$P$11))</f>
        <v>0</v>
      </c>
    </row>
    <row r="27" spans="1:39" x14ac:dyDescent="0.2">
      <c r="A27" s="551" t="str">
        <f>IF(LEN(КАФЕДРА!A27)&gt;2,КАФЕДРА!A27,"")</f>
        <v>Общей хирургии, оперативной хирургии и топографической анатомии</v>
      </c>
      <c r="B27" s="442" t="str">
        <f>КАФЕДРА!$D27</f>
        <v>КМЕДИЦИНЫ</v>
      </c>
      <c r="C27" s="960">
        <f>IF(LEN(КАФЕДРА!$A27)&gt;2,КАФЕДРА!C27,0)</f>
        <v>0</v>
      </c>
      <c r="D27" s="867">
        <f t="shared" si="1"/>
        <v>30000</v>
      </c>
      <c r="E27" s="1929">
        <v>30000</v>
      </c>
      <c r="F27" s="1903"/>
      <c r="G27" s="1903"/>
      <c r="H27" s="1916"/>
      <c r="I27" s="1933">
        <v>0</v>
      </c>
      <c r="J27" s="1917"/>
      <c r="K27" s="1917"/>
      <c r="L27" s="1918"/>
      <c r="M27" s="1229"/>
      <c r="N27" s="869">
        <v>34500</v>
      </c>
      <c r="O27" s="869">
        <v>35000</v>
      </c>
      <c r="P27" s="869">
        <v>98000</v>
      </c>
      <c r="Q27" s="721">
        <f t="array" ref="Q27">IF(D27&lt;&gt;0,SUM(($I27:$P27)*($I$12:$P$12=Q$12))/D27*100,нет)</f>
        <v>0</v>
      </c>
      <c r="R27" s="721">
        <f t="array" ref="R27">SUM(($I27:$P27)*($I$12:$P$12=R$12)*($I$11:$P$11))</f>
        <v>0</v>
      </c>
      <c r="S27" s="721">
        <f t="array" ref="S27">SUM(($I27:$P27)*($I$12:$P$12=S$12)*($I$11:$P$11))</f>
        <v>34500</v>
      </c>
    </row>
    <row r="28" spans="1:39" x14ac:dyDescent="0.2">
      <c r="A28" s="551" t="str">
        <f>IF(LEN(КАФЕДРА!A28)&gt;2,КАФЕДРА!A28,"")</f>
        <v>Оториноларингологии с курсом ДПО</v>
      </c>
      <c r="B28" s="442" t="str">
        <f>КАФЕДРА!$D28</f>
        <v>КМЕДИЦИНЫ</v>
      </c>
      <c r="C28" s="960">
        <f>IF(LEN(КАФЕДРА!$A28)&gt;2,КАФЕДРА!C28,0)</f>
        <v>0</v>
      </c>
      <c r="D28" s="867">
        <f t="shared" si="1"/>
        <v>50000</v>
      </c>
      <c r="E28" s="1929">
        <v>50000</v>
      </c>
      <c r="F28" s="1903"/>
      <c r="G28" s="1903"/>
      <c r="H28" s="1916"/>
      <c r="I28" s="1933">
        <v>25650</v>
      </c>
      <c r="J28" s="1917"/>
      <c r="K28" s="1917"/>
      <c r="L28" s="1919"/>
      <c r="M28" s="1229"/>
      <c r="N28" s="869">
        <v>26500</v>
      </c>
      <c r="O28" s="869"/>
      <c r="P28" s="869"/>
      <c r="Q28" s="721">
        <f t="array" ref="Q28">IF(D28&lt;&gt;0,SUM(($I28:$P28)*($I$12:$P$12=Q$12))/D28*100,нет)</f>
        <v>51.300000000000004</v>
      </c>
      <c r="R28" s="721">
        <f t="array" ref="R28">SUM(($I28:$P28)*($I$12:$P$12=R$12)*($I$11:$P$11))</f>
        <v>25650</v>
      </c>
      <c r="S28" s="721">
        <f t="array" ref="S28">SUM(($I28:$P28)*($I$12:$P$12=S$12)*($I$11:$P$11))</f>
        <v>26500</v>
      </c>
    </row>
    <row r="29" spans="1:39" x14ac:dyDescent="0.2">
      <c r="A29" s="551" t="str">
        <f>IF(LEN(КАФЕДРА!A29)&gt;2,КАФЕДРА!A29,"")</f>
        <v>Поликлинической терапии</v>
      </c>
      <c r="B29" s="442" t="str">
        <f>КАФЕДРА!$D29</f>
        <v>КМЕДИЦИНЫ</v>
      </c>
      <c r="C29" s="960">
        <f>IF(LEN(КАФЕДРА!$A29)&gt;2,КАФЕДРА!C29,0)</f>
        <v>0</v>
      </c>
      <c r="D29" s="867">
        <f t="shared" si="1"/>
        <v>60000</v>
      </c>
      <c r="E29" s="1929">
        <v>60000</v>
      </c>
      <c r="F29" s="1903"/>
      <c r="G29" s="1903"/>
      <c r="H29" s="1916"/>
      <c r="I29" s="1933">
        <v>130200</v>
      </c>
      <c r="J29" s="1917"/>
      <c r="K29" s="1917"/>
      <c r="L29" s="1918"/>
      <c r="M29" s="1229">
        <v>18000</v>
      </c>
      <c r="N29" s="869">
        <v>301500</v>
      </c>
      <c r="O29" s="869">
        <v>93100</v>
      </c>
      <c r="P29" s="869">
        <v>147600</v>
      </c>
      <c r="Q29" s="721">
        <f t="array" ref="Q29">IF(D29&lt;&gt;0,SUM(($I29:$P29)*($I$12:$P$12=Q$12))/D29*100,нет)</f>
        <v>217</v>
      </c>
      <c r="R29" s="721">
        <f t="array" ref="R29">SUM(($I29:$P29)*($I$12:$P$12=R$12)*($I$11:$P$11))</f>
        <v>130200</v>
      </c>
      <c r="S29" s="721">
        <f t="array" ref="S29">SUM(($I29:$P29)*($I$12:$P$12=S$12)*($I$11:$P$11))</f>
        <v>319500</v>
      </c>
    </row>
    <row r="30" spans="1:39" x14ac:dyDescent="0.2">
      <c r="A30" s="551" t="str">
        <f>IF(LEN(КАФЕДРА!A30)&gt;2,КАФЕДРА!A30,"")</f>
        <v>Пропедевтики внутренних болезней имени профессора З.С. Баркагана</v>
      </c>
      <c r="B30" s="442" t="str">
        <f>КАФЕДРА!$D30</f>
        <v>КМЕДИЦИНЫ</v>
      </c>
      <c r="C30" s="960">
        <f>IF(LEN(КАФЕДРА!$A30)&gt;2,КАФЕДРА!C30,0)</f>
        <v>0</v>
      </c>
      <c r="D30" s="867">
        <f t="shared" si="1"/>
        <v>40000</v>
      </c>
      <c r="E30" s="1929">
        <v>40000</v>
      </c>
      <c r="F30" s="1903"/>
      <c r="G30" s="1903"/>
      <c r="H30" s="1916"/>
      <c r="I30" s="1933">
        <v>141900</v>
      </c>
      <c r="J30" s="1917"/>
      <c r="K30" s="1917"/>
      <c r="L30" s="1918"/>
      <c r="M30" s="1229">
        <v>22400</v>
      </c>
      <c r="N30" s="869">
        <v>10500</v>
      </c>
      <c r="O30" s="869"/>
      <c r="P30" s="869">
        <v>50903.38</v>
      </c>
      <c r="Q30" s="721">
        <f t="array" ref="Q30">IF(D30&lt;&gt;0,SUM(($I30:$P30)*($I$12:$P$12=Q$12))/D30*100,нет)</f>
        <v>354.75</v>
      </c>
      <c r="R30" s="721">
        <f t="array" ref="R30">SUM(($I30:$P30)*($I$12:$P$12=R$12)*($I$11:$P$11))</f>
        <v>141900</v>
      </c>
      <c r="S30" s="721">
        <f t="array" ref="S30">SUM(($I30:$P30)*($I$12:$P$12=S$12)*($I$11:$P$11))</f>
        <v>32900</v>
      </c>
    </row>
    <row r="31" spans="1:39" x14ac:dyDescent="0.2">
      <c r="A31" s="551" t="str">
        <f>IF(LEN(КАФЕДРА!A31)&gt;2,КАФЕДРА!A31,"")</f>
        <v>Терапии и общей врачебной практики с курсом ДПО</v>
      </c>
      <c r="B31" s="442" t="str">
        <f>КАФЕДРА!$D31</f>
        <v>КМЕДИЦИНЫ</v>
      </c>
      <c r="C31" s="960">
        <f>IF(LEN(КАФЕДРА!$A31)&gt;2,КАФЕДРА!C31,0)</f>
        <v>0</v>
      </c>
      <c r="D31" s="867">
        <f t="shared" si="1"/>
        <v>440000</v>
      </c>
      <c r="E31" s="1929">
        <v>440000</v>
      </c>
      <c r="F31" s="1903"/>
      <c r="G31" s="1903"/>
      <c r="H31" s="1916"/>
      <c r="I31" s="1933">
        <v>373023</v>
      </c>
      <c r="J31" s="1917"/>
      <c r="K31" s="1917"/>
      <c r="L31" s="1918"/>
      <c r="M31" s="1229">
        <v>572950</v>
      </c>
      <c r="N31" s="869">
        <v>402971.48</v>
      </c>
      <c r="O31" s="869">
        <v>226600</v>
      </c>
      <c r="P31" s="869">
        <v>290400</v>
      </c>
      <c r="Q31" s="721">
        <f t="array" ref="Q31">IF(D31&lt;&gt;0,SUM(($I31:$P31)*($I$12:$P$12=Q$12))/D31*100,нет)</f>
        <v>84.777954545454548</v>
      </c>
      <c r="R31" s="721">
        <f t="array" ref="R31">SUM(($I31:$P31)*($I$12:$P$12=R$12)*($I$11:$P$11))</f>
        <v>373023</v>
      </c>
      <c r="S31" s="721">
        <f t="array" ref="S31">SUM(($I31:$P31)*($I$12:$P$12=S$12)*($I$11:$P$11))</f>
        <v>975921.48</v>
      </c>
    </row>
    <row r="32" spans="1:39" x14ac:dyDescent="0.2">
      <c r="A32" s="551" t="str">
        <f>IF(LEN(КАФЕДРА!A32)&gt;2,КАФЕДРА!A32,"")</f>
        <v>Травматологии и ортопедии</v>
      </c>
      <c r="B32" s="442" t="str">
        <f>КАФЕДРА!$D32</f>
        <v>КМЕДИЦИНЫ</v>
      </c>
      <c r="C32" s="960">
        <f>IF(LEN(КАФЕДРА!$A32)&gt;2,КАФЕДРА!C32,0)</f>
        <v>0</v>
      </c>
      <c r="D32" s="867">
        <f t="shared" si="1"/>
        <v>25000</v>
      </c>
      <c r="E32" s="1929">
        <v>25000</v>
      </c>
      <c r="F32" s="1903"/>
      <c r="G32" s="1903"/>
      <c r="H32" s="1916"/>
      <c r="I32" s="1933">
        <v>25650</v>
      </c>
      <c r="J32" s="1917"/>
      <c r="K32" s="1917"/>
      <c r="L32" s="1918"/>
      <c r="M32" s="1229">
        <v>4315.4799999999996</v>
      </c>
      <c r="N32" s="869">
        <v>235059.3</v>
      </c>
      <c r="O32" s="869"/>
      <c r="P32" s="869">
        <v>54000</v>
      </c>
      <c r="Q32" s="721">
        <f t="array" ref="Q32">IF(D32&lt;&gt;0,SUM(($I32:$P32)*($I$12:$P$12=Q$12))/D32*100,нет)</f>
        <v>102.60000000000001</v>
      </c>
      <c r="R32" s="721">
        <f t="array" ref="R32">SUM(($I32:$P32)*($I$12:$P$12=R$12)*($I$11:$P$11))</f>
        <v>25650</v>
      </c>
      <c r="S32" s="721">
        <f t="array" ref="S32">SUM(($I32:$P32)*($I$12:$P$12=S$12)*($I$11:$P$11))</f>
        <v>239374.78</v>
      </c>
    </row>
    <row r="33" spans="1:19" x14ac:dyDescent="0.2">
      <c r="A33" s="551" t="str">
        <f>IF(LEN(КАФЕДРА!A33)&gt;2,КАФЕДРА!A33,"")</f>
        <v>Ультразвуковой и функциональной диагностики с курсом ДПО</v>
      </c>
      <c r="B33" s="442" t="str">
        <f>КАФЕДРА!$D33</f>
        <v>КМЕДИЦИНЫ</v>
      </c>
      <c r="C33" s="960">
        <f>IF(LEN(КАФЕДРА!$A33)&gt;2,КАФЕДРА!C33,0)</f>
        <v>0</v>
      </c>
      <c r="D33" s="867">
        <f>SUM(E33:H33)</f>
        <v>1400000</v>
      </c>
      <c r="E33" s="1929">
        <v>1400000</v>
      </c>
      <c r="F33" s="1903"/>
      <c r="G33" s="1903"/>
      <c r="H33" s="1916"/>
      <c r="I33" s="1933">
        <v>1527702</v>
      </c>
      <c r="J33" s="1917"/>
      <c r="K33" s="1917"/>
      <c r="L33" s="1918"/>
      <c r="M33" s="1229">
        <v>1481000</v>
      </c>
      <c r="N33" s="869">
        <v>1439837.24</v>
      </c>
      <c r="O33" s="869">
        <v>1547000</v>
      </c>
      <c r="P33" s="869">
        <v>1400500</v>
      </c>
      <c r="Q33" s="721">
        <f t="array" ref="Q33">IF(D33&lt;&gt;0,SUM(($I33:$P33)*($I$12:$P$12=Q$12))/D33*100,нет)</f>
        <v>109.12157142857141</v>
      </c>
      <c r="R33" s="721">
        <f t="array" ref="R33">SUM(($I33:$P33)*($I$12:$P$12=R$12)*($I$11:$P$11))</f>
        <v>1527702</v>
      </c>
      <c r="S33" s="721">
        <f t="array" ref="S33">SUM(($I33:$P33)*($I$12:$P$12=S$12)*($I$11:$P$11))</f>
        <v>2920837.24</v>
      </c>
    </row>
    <row r="34" spans="1:19" x14ac:dyDescent="0.2">
      <c r="A34" s="551" t="str">
        <f>IF(LEN(КАФЕДРА!A34)&gt;2,КАФЕДРА!A34,"")</f>
        <v>Урологии и андрологии с курсом ДПО</v>
      </c>
      <c r="B34" s="442" t="str">
        <f>КАФЕДРА!$D34</f>
        <v>КМЕДИЦИНЫ</v>
      </c>
      <c r="C34" s="960">
        <f>IF(LEN(КАФЕДРА!$A34)&gt;2,КАФЕДРА!C34,0)</f>
        <v>0</v>
      </c>
      <c r="D34" s="867">
        <f t="shared" si="1"/>
        <v>50000</v>
      </c>
      <c r="E34" s="1929">
        <v>50000</v>
      </c>
      <c r="F34" s="1903"/>
      <c r="G34" s="1903"/>
      <c r="H34" s="1916"/>
      <c r="I34" s="1933">
        <v>153900</v>
      </c>
      <c r="J34" s="1917"/>
      <c r="K34" s="1917"/>
      <c r="L34" s="1918"/>
      <c r="M34" s="1229">
        <v>53200</v>
      </c>
      <c r="N34" s="869">
        <v>70184.160000000003</v>
      </c>
      <c r="O34" s="869">
        <v>51000</v>
      </c>
      <c r="P34" s="869"/>
      <c r="Q34" s="721">
        <f t="array" ref="Q34">IF(D34&lt;&gt;0,SUM(($I34:$P34)*($I$12:$P$12=Q$12))/D34*100,нет)</f>
        <v>307.8</v>
      </c>
      <c r="R34" s="721">
        <f t="array" ref="R34">SUM(($I34:$P34)*($I$12:$P$12=R$12)*($I$11:$P$11))</f>
        <v>153900</v>
      </c>
      <c r="S34" s="721">
        <f t="array" ref="S34">SUM(($I34:$P34)*($I$12:$P$12=S$12)*($I$11:$P$11))</f>
        <v>123384.16</v>
      </c>
    </row>
    <row r="35" spans="1:19" x14ac:dyDescent="0.2">
      <c r="A35" s="551" t="str">
        <f>IF(LEN(КАФЕДРА!A35)&gt;2,КАФЕДРА!A35,"")</f>
        <v>Факультетской терапии и профессиональных болезней</v>
      </c>
      <c r="B35" s="442" t="str">
        <f>КАФЕДРА!$D35</f>
        <v>КМЕДИЦИНЫ</v>
      </c>
      <c r="C35" s="960">
        <f>IF(LEN(КАФЕДРА!$A35)&gt;2,КАФЕДРА!C35,0)</f>
        <v>0</v>
      </c>
      <c r="D35" s="867">
        <f t="shared" si="1"/>
        <v>30000</v>
      </c>
      <c r="E35" s="1929">
        <v>30000</v>
      </c>
      <c r="F35" s="1903"/>
      <c r="G35" s="1903"/>
      <c r="H35" s="1916"/>
      <c r="I35" s="1933">
        <v>0</v>
      </c>
      <c r="J35" s="1917"/>
      <c r="K35" s="1917"/>
      <c r="L35" s="1918"/>
      <c r="M35" s="1229">
        <v>15116.7</v>
      </c>
      <c r="N35" s="869">
        <v>73993</v>
      </c>
      <c r="O35" s="869"/>
      <c r="P35" s="869">
        <v>32200</v>
      </c>
      <c r="Q35" s="721">
        <f t="array" ref="Q35">IF(D35&lt;&gt;0,SUM(($I35:$P35)*($I$12:$P$12=Q$12))/D35*100,нет)</f>
        <v>0</v>
      </c>
      <c r="R35" s="721">
        <f t="array" ref="R35">SUM(($I35:$P35)*($I$12:$P$12=R$12)*($I$11:$P$11))</f>
        <v>0</v>
      </c>
      <c r="S35" s="721">
        <f t="array" ref="S35">SUM(($I35:$P35)*($I$12:$P$12=S$12)*($I$11:$P$11))</f>
        <v>89109.7</v>
      </c>
    </row>
    <row r="36" spans="1:19" ht="15" thickBot="1" x14ac:dyDescent="0.25">
      <c r="A36" s="553" t="str">
        <f>IF(LEN(КАФЕДРА!A36)&gt;2,КАФЕДРА!A36,"")</f>
        <v>Факультетской хирургии имени профессора И.И. Неймарка с курсом ДПО</v>
      </c>
      <c r="B36" s="727" t="str">
        <f>КАФЕДРА!$D36</f>
        <v>КМЕДИЦИНЫ</v>
      </c>
      <c r="C36" s="373">
        <f>IF(LEN(КАФЕДРА!$A36)&gt;2,КАФЕДРА!C36,0)</f>
        <v>0</v>
      </c>
      <c r="D36" s="771">
        <f t="shared" si="1"/>
        <v>130000</v>
      </c>
      <c r="E36" s="1930">
        <v>130000</v>
      </c>
      <c r="F36" s="1904"/>
      <c r="G36" s="1904"/>
      <c r="H36" s="1920"/>
      <c r="I36" s="1934">
        <v>296900</v>
      </c>
      <c r="J36" s="1921"/>
      <c r="K36" s="1921"/>
      <c r="L36" s="1510"/>
      <c r="M36" s="1230"/>
      <c r="N36" s="778">
        <v>57200</v>
      </c>
      <c r="O36" s="778">
        <v>67550</v>
      </c>
      <c r="P36" s="778"/>
      <c r="Q36" s="723">
        <f t="array" ref="Q36">IF(D36&lt;&gt;0,SUM(($I36:$P36)*($I$12:$P$12=Q$12))/D36*100,нет)</f>
        <v>228.38461538461536</v>
      </c>
      <c r="R36" s="723">
        <f t="array" ref="R36">SUM(($I36:$P36)*($I$12:$P$12=R$12)*($I$11:$P$11))</f>
        <v>296900</v>
      </c>
      <c r="S36" s="723">
        <f t="array" ref="S36">SUM(($I36:$P36)*($I$12:$P$12=S$12)*($I$11:$P$11))</f>
        <v>57200</v>
      </c>
    </row>
    <row r="37" spans="1:19" x14ac:dyDescent="0.2">
      <c r="A37" s="582" t="str">
        <f>IF(LEN(КАФЕДРА!A37)&gt;2,КАФЕДРА!A37,"")</f>
        <v>Госпитальной педиатрии с курсом ДПО</v>
      </c>
      <c r="B37" s="785" t="str">
        <f>КАФЕДРА!$D37</f>
        <v>ПЕДИАТРИИ</v>
      </c>
      <c r="C37" s="369">
        <f>IF(LEN(КАФЕДРА!$A37)&gt;2,КАФЕДРА!C37,0)</f>
        <v>0</v>
      </c>
      <c r="D37" s="770">
        <f t="shared" si="1"/>
        <v>90000</v>
      </c>
      <c r="E37" s="1929">
        <v>90000</v>
      </c>
      <c r="F37" s="1903"/>
      <c r="G37" s="1903"/>
      <c r="H37" s="1922"/>
      <c r="I37" s="1933">
        <v>41040</v>
      </c>
      <c r="J37" s="1917"/>
      <c r="K37" s="1917"/>
      <c r="L37" s="1511"/>
      <c r="M37" s="1229">
        <v>141000</v>
      </c>
      <c r="N37" s="869">
        <v>134400</v>
      </c>
      <c r="O37" s="869">
        <v>85800</v>
      </c>
      <c r="P37" s="869">
        <v>122200</v>
      </c>
      <c r="Q37" s="721">
        <f t="array" ref="Q37">IF(D37&lt;&gt;0,SUM(($I37:$P37)*($I$12:$P$12=Q$12))/D37*100,нет)</f>
        <v>45.6</v>
      </c>
      <c r="R37" s="721">
        <f t="array" ref="R37">SUM(($I37:$P37)*($I$12:$P$12=R$12)*($I$11:$P$11))</f>
        <v>41040</v>
      </c>
      <c r="S37" s="721">
        <f t="array" ref="S37">SUM(($I37:$P37)*($I$12:$P$12=S$12)*($I$11:$P$11))</f>
        <v>275400</v>
      </c>
    </row>
    <row r="38" spans="1:19" x14ac:dyDescent="0.2">
      <c r="A38" s="551" t="str">
        <f>IF(LEN(КАФЕДРА!A38)&gt;2,КАФЕДРА!A38,"")</f>
        <v>Лучевой диагностики и эндоскопии с курсом ДПО</v>
      </c>
      <c r="B38" s="786" t="str">
        <f>КАФЕДРА!$D38</f>
        <v>ПЕДИАТРИИ</v>
      </c>
      <c r="C38" s="960">
        <f>IF(LEN(КАФЕДРА!$A38)&gt;2,КАФЕДРА!C38,0)</f>
        <v>0</v>
      </c>
      <c r="D38" s="867">
        <f>SUM(E38:H38)</f>
        <v>350000</v>
      </c>
      <c r="E38" s="1929">
        <v>350000</v>
      </c>
      <c r="F38" s="1903"/>
      <c r="G38" s="1903"/>
      <c r="H38" s="1916"/>
      <c r="I38" s="1933">
        <v>555873</v>
      </c>
      <c r="J38" s="1917"/>
      <c r="K38" s="1917"/>
      <c r="L38" s="1918"/>
      <c r="M38" s="1229">
        <v>391900</v>
      </c>
      <c r="N38" s="869">
        <v>528998.30000000005</v>
      </c>
      <c r="O38" s="869">
        <v>180600</v>
      </c>
      <c r="P38" s="869">
        <v>55574</v>
      </c>
      <c r="Q38" s="721">
        <f t="array" ref="Q38">IF(D38&lt;&gt;0,SUM(($I38:$P38)*($I$12:$P$12=Q$12))/D38*100,нет)</f>
        <v>158.82085714285714</v>
      </c>
      <c r="R38" s="721">
        <f t="array" ref="R38">SUM(($I38:$P38)*($I$12:$P$12=R$12)*($I$11:$P$11))</f>
        <v>555873</v>
      </c>
      <c r="S38" s="721">
        <f t="array" ref="S38">SUM(($I38:$P38)*($I$12:$P$12=S$12)*($I$11:$P$11))</f>
        <v>920898.3</v>
      </c>
    </row>
    <row r="39" spans="1:19" x14ac:dyDescent="0.2">
      <c r="A39" s="551" t="str">
        <f>IF(LEN(КАФЕДРА!A39)&gt;2,КАФЕДРА!A39,"")</f>
        <v>Неонатологии и детской анестезиологии с курсом ДПО</v>
      </c>
      <c r="B39" s="786" t="str">
        <f>КАФЕДРА!$D39</f>
        <v>ПЕДИАТРИИ</v>
      </c>
      <c r="C39" s="960">
        <f>IF(LEN(КАФЕДРА!$A39)&gt;2,КАФЕДРА!C39,0)</f>
        <v>0</v>
      </c>
      <c r="D39" s="867">
        <f>SUM(E39:H39)</f>
        <v>71000</v>
      </c>
      <c r="E39" s="1929">
        <v>71000</v>
      </c>
      <c r="F39" s="1903"/>
      <c r="G39" s="1903"/>
      <c r="H39" s="1916"/>
      <c r="I39" s="1933">
        <v>6413</v>
      </c>
      <c r="J39" s="1917"/>
      <c r="K39" s="1917"/>
      <c r="L39" s="1918"/>
      <c r="M39" s="1229"/>
      <c r="N39" s="869"/>
      <c r="O39" s="869"/>
      <c r="P39" s="869">
        <v>14000</v>
      </c>
      <c r="Q39" s="721">
        <f t="array" ref="Q39">IF(D39&lt;&gt;0,SUM(($I39:$P39)*($I$12:$P$12=Q$12))/D39*100,нет)</f>
        <v>9.0323943661971828</v>
      </c>
      <c r="R39" s="721">
        <f t="array" ref="R39">SUM(($I39:$P39)*($I$12:$P$12=R$12)*($I$11:$P$11))</f>
        <v>6413</v>
      </c>
      <c r="S39" s="721">
        <f t="array" ref="S39">SUM(($I39:$P39)*($I$12:$P$12=S$12)*($I$11:$P$11))</f>
        <v>0</v>
      </c>
    </row>
    <row r="40" spans="1:19" x14ac:dyDescent="0.2">
      <c r="A40" s="551" t="str">
        <f>IF(LEN(КАФЕДРА!A40)&gt;2,КАФЕДРА!A40,"")</f>
        <v>Онкологии, лучевой терапии с курсом ДПО</v>
      </c>
      <c r="B40" s="786" t="str">
        <f>КАФЕДРА!$D40</f>
        <v>ПЕДИАТРИИ</v>
      </c>
      <c r="C40" s="960">
        <f>IF(LEN(КАФЕДРА!$A40)&gt;2,КАФЕДРА!C40,0)</f>
        <v>0</v>
      </c>
      <c r="D40" s="867">
        <f>SUM(E40:H40)</f>
        <v>50000</v>
      </c>
      <c r="E40" s="1929">
        <v>50000</v>
      </c>
      <c r="F40" s="1903"/>
      <c r="G40" s="1903"/>
      <c r="H40" s="1916"/>
      <c r="I40" s="1933">
        <v>8100</v>
      </c>
      <c r="J40" s="1917"/>
      <c r="K40" s="1917"/>
      <c r="L40" s="1918"/>
      <c r="M40" s="1229">
        <v>52000</v>
      </c>
      <c r="N40" s="869">
        <v>80600</v>
      </c>
      <c r="O40" s="869">
        <v>54000</v>
      </c>
      <c r="P40" s="869">
        <v>74500</v>
      </c>
      <c r="Q40" s="721">
        <f t="array" ref="Q40">IF(D40&lt;&gt;0,SUM(($I40:$P40)*($I$12:$P$12=Q$12))/D40*100,нет)</f>
        <v>16.2</v>
      </c>
      <c r="R40" s="721">
        <f t="array" ref="R40">SUM(($I40:$P40)*($I$12:$P$12=R$12)*($I$11:$P$11))</f>
        <v>8100</v>
      </c>
      <c r="S40" s="721">
        <f t="array" ref="S40">SUM(($I40:$P40)*($I$12:$P$12=S$12)*($I$11:$P$11))</f>
        <v>132600</v>
      </c>
    </row>
    <row r="41" spans="1:19" x14ac:dyDescent="0.2">
      <c r="A41" s="551" t="str">
        <f>IF(LEN(КАФЕДРА!A41)&gt;2,КАФЕДРА!A41,"")</f>
        <v>Офтальмологии с курсом ДПО</v>
      </c>
      <c r="B41" s="786" t="str">
        <f>КАФЕДРА!$D41</f>
        <v>ПЕДИАТРИИ</v>
      </c>
      <c r="C41" s="960">
        <f>IF(LEN(КАФЕДРА!$A41)&gt;2,КАФЕДРА!C41,0)</f>
        <v>0</v>
      </c>
      <c r="D41" s="867">
        <f>SUM(E41:H41)</f>
        <v>42000</v>
      </c>
      <c r="E41" s="1929">
        <v>42000</v>
      </c>
      <c r="F41" s="1903"/>
      <c r="G41" s="1903"/>
      <c r="H41" s="1916"/>
      <c r="I41" s="1933">
        <v>0</v>
      </c>
      <c r="J41" s="1917"/>
      <c r="K41" s="1917"/>
      <c r="L41" s="1918"/>
      <c r="M41" s="1229">
        <v>19500</v>
      </c>
      <c r="N41" s="869">
        <v>25800</v>
      </c>
      <c r="O41" s="869"/>
      <c r="P41" s="869">
        <v>21000</v>
      </c>
      <c r="Q41" s="721">
        <f t="array" ref="Q41">IF(D41&lt;&gt;0,SUM(($I41:$P41)*($I$12:$P$12=Q$12))/D41*100,нет)</f>
        <v>0</v>
      </c>
      <c r="R41" s="721">
        <f t="array" ref="R41">SUM(($I41:$P41)*($I$12:$P$12=R$12)*($I$11:$P$11))</f>
        <v>0</v>
      </c>
      <c r="S41" s="721">
        <f t="array" ref="S41">SUM(($I41:$P41)*($I$12:$P$12=S$12)*($I$11:$P$11))</f>
        <v>45300</v>
      </c>
    </row>
    <row r="42" spans="1:19" x14ac:dyDescent="0.2">
      <c r="A42" s="551" t="str">
        <f>IF(LEN(КАФЕДРА!A42)&gt;2,КАФЕДРА!A42,"")</f>
        <v>Патологической физиологии</v>
      </c>
      <c r="B42" s="786" t="str">
        <f>КАФЕДРА!$D42</f>
        <v>ПЕДИАТРИИ</v>
      </c>
      <c r="C42" s="960">
        <f>IF(LEN(КАФЕДРА!$A42)&gt;2,КАФЕДРА!C42,0)</f>
        <v>0</v>
      </c>
      <c r="D42" s="867">
        <f>SUM(E42:H42)</f>
        <v>0</v>
      </c>
      <c r="E42" s="1929"/>
      <c r="F42" s="1903"/>
      <c r="G42" s="1903"/>
      <c r="H42" s="1916"/>
      <c r="I42" s="1933"/>
      <c r="J42" s="1917"/>
      <c r="K42" s="1917"/>
      <c r="L42" s="1918"/>
      <c r="M42" s="1229"/>
      <c r="N42" s="869"/>
      <c r="O42" s="869"/>
      <c r="P42" s="869"/>
      <c r="Q42" s="721" t="str">
        <f t="array" ref="Q42">IF(D42&lt;&gt;0,SUM(($I42:$P42)*($I$12:$P$12=Q$12))/D42*100,нет)</f>
        <v>нет</v>
      </c>
      <c r="R42" s="721">
        <f t="array" ref="R42">SUM(($I42:$P42)*($I$12:$P$12=R$12)*($I$11:$P$11))</f>
        <v>0</v>
      </c>
      <c r="S42" s="721">
        <f t="array" ref="S42">SUM(($I42:$P42)*($I$12:$P$12=S$12)*($I$11:$P$11))</f>
        <v>0</v>
      </c>
    </row>
    <row r="43" spans="1:19" x14ac:dyDescent="0.2">
      <c r="A43" s="551" t="str">
        <f>IF(LEN(КАФЕДРА!A43)&gt;2,КАФЕДРА!A43,"")</f>
        <v>Пропедевтики детских болезней</v>
      </c>
      <c r="B43" s="786" t="str">
        <f>КАФЕДРА!$D43</f>
        <v>ПЕДИАТРИИ</v>
      </c>
      <c r="C43" s="960">
        <f>IF(LEN(КАФЕДРА!$A43)&gt;2,КАФЕДРА!C43,0)</f>
        <v>0</v>
      </c>
      <c r="D43" s="867">
        <f t="shared" si="1"/>
        <v>0</v>
      </c>
      <c r="E43" s="1929"/>
      <c r="F43" s="1903"/>
      <c r="G43" s="1903"/>
      <c r="H43" s="1916"/>
      <c r="I43" s="1933"/>
      <c r="J43" s="1917"/>
      <c r="K43" s="1917"/>
      <c r="L43" s="1918"/>
      <c r="M43" s="1229"/>
      <c r="N43" s="869"/>
      <c r="O43" s="869"/>
      <c r="P43" s="869"/>
      <c r="Q43" s="721" t="str">
        <f t="array" ref="Q43">IF(D43&lt;&gt;0,SUM(($I43:$P43)*($I$12:$P$12=Q$12))/D43*100,нет)</f>
        <v>нет</v>
      </c>
      <c r="R43" s="721">
        <f t="array" ref="R43">SUM(($I43:$P43)*($I$12:$P$12=R$12)*($I$11:$P$11))</f>
        <v>0</v>
      </c>
      <c r="S43" s="721">
        <f t="array" ref="S43">SUM(($I43:$P43)*($I$12:$P$12=S$12)*($I$11:$P$11))</f>
        <v>0</v>
      </c>
    </row>
    <row r="44" spans="1:19" x14ac:dyDescent="0.2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786" t="str">
        <f>КАФЕДРА!$D44</f>
        <v>ПЕДИАТРИИ</v>
      </c>
      <c r="C44" s="960">
        <f>IF(LEN(КАФЕДРА!$A44)&gt;2,КАФЕДРА!C44,0)</f>
        <v>0</v>
      </c>
      <c r="D44" s="867">
        <f t="shared" si="1"/>
        <v>50000</v>
      </c>
      <c r="E44" s="1929">
        <v>50000</v>
      </c>
      <c r="F44" s="1903"/>
      <c r="G44" s="1903"/>
      <c r="H44" s="1916"/>
      <c r="I44" s="1933">
        <v>6450</v>
      </c>
      <c r="J44" s="1917"/>
      <c r="K44" s="1917"/>
      <c r="L44" s="1918"/>
      <c r="M44" s="1229"/>
      <c r="N44" s="869"/>
      <c r="O44" s="869"/>
      <c r="P44" s="869">
        <v>5000</v>
      </c>
      <c r="Q44" s="721">
        <f t="array" ref="Q44">IF(D44&lt;&gt;0,SUM(($I44:$P44)*($I$12:$P$12=Q$12))/D44*100,нет)</f>
        <v>12.9</v>
      </c>
      <c r="R44" s="721">
        <f t="array" ref="R44">SUM(($I44:$P44)*($I$12:$P$12=R$12)*($I$11:$P$11))</f>
        <v>6450</v>
      </c>
      <c r="S44" s="721">
        <f t="array" ref="S44">SUM(($I44:$P44)*($I$12:$P$12=S$12)*($I$11:$P$11))</f>
        <v>0</v>
      </c>
    </row>
    <row r="45" spans="1:19" x14ac:dyDescent="0.2">
      <c r="A45" s="551" t="str">
        <f>IF(LEN(КАФЕДРА!A45)&gt;2,КАФЕДРА!A45,"")</f>
        <v>Факультетской педиатрии</v>
      </c>
      <c r="B45" s="786" t="str">
        <f>КАФЕДРА!$D45</f>
        <v>ПЕДИАТРИИ</v>
      </c>
      <c r="C45" s="960">
        <f>IF(LEN(КАФЕДРА!$A45)&gt;2,КАФЕДРА!C45,0)</f>
        <v>0</v>
      </c>
      <c r="D45" s="867">
        <f>SUM(E45:H45)</f>
        <v>0</v>
      </c>
      <c r="E45" s="1929"/>
      <c r="F45" s="1903"/>
      <c r="G45" s="1903"/>
      <c r="H45" s="1916"/>
      <c r="I45" s="1933"/>
      <c r="J45" s="1917"/>
      <c r="K45" s="1917"/>
      <c r="L45" s="1918"/>
      <c r="M45" s="1229"/>
      <c r="N45" s="869"/>
      <c r="O45" s="869"/>
      <c r="P45" s="869"/>
      <c r="Q45" s="721" t="str">
        <f t="array" ref="Q45">IF(D45&lt;&gt;0,SUM(($I45:$P45)*($I$12:$P$12=Q$12))/D45*100,нет)</f>
        <v>нет</v>
      </c>
      <c r="R45" s="721">
        <f t="array" ref="R45">SUM(($I45:$P45)*($I$12:$P$12=R$12)*($I$11:$P$11))</f>
        <v>0</v>
      </c>
      <c r="S45" s="721">
        <f t="array" ref="S45">SUM(($I45:$P45)*($I$12:$P$12=S$12)*($I$11:$P$11))</f>
        <v>0</v>
      </c>
    </row>
    <row r="46" spans="1:19" x14ac:dyDescent="0.2">
      <c r="A46" s="551" t="str">
        <f>IF(LEN(КАФЕДРА!A46)&gt;2,КАФЕДРА!A46,"")</f>
        <v>Хирургических болезней детского возраста</v>
      </c>
      <c r="B46" s="786" t="str">
        <f>КАФЕДРА!$D46</f>
        <v>ПЕДИАТРИИ</v>
      </c>
      <c r="C46" s="960">
        <f>IF(LEN(КАФЕДРА!$A46)&gt;2,КАФЕДРА!C46,0)</f>
        <v>0</v>
      </c>
      <c r="D46" s="867">
        <f>SUM(E46:H46)</f>
        <v>20000</v>
      </c>
      <c r="E46" s="1929">
        <v>20000</v>
      </c>
      <c r="F46" s="1903"/>
      <c r="G46" s="1903"/>
      <c r="H46" s="1916"/>
      <c r="I46" s="1933">
        <v>0</v>
      </c>
      <c r="J46" s="1917"/>
      <c r="K46" s="1917"/>
      <c r="L46" s="1918"/>
      <c r="M46" s="1229">
        <v>18400</v>
      </c>
      <c r="N46" s="869"/>
      <c r="O46" s="869"/>
      <c r="P46" s="869"/>
      <c r="Q46" s="958">
        <f t="array" ref="Q46">IF(D46&lt;&gt;0,SUM(($I46:$P46)*($I$12:$P$12=Q$12))/D46*100,нет)</f>
        <v>0</v>
      </c>
      <c r="R46" s="958">
        <f t="array" ref="R46">SUM(($I46:$P46)*($I$12:$P$12=R$12)*($I$11:$P$11))</f>
        <v>0</v>
      </c>
      <c r="S46" s="958">
        <f t="array" ref="S46">SUM(($I46:$P46)*($I$12:$P$12=S$12)*($I$11:$P$11))</f>
        <v>18400</v>
      </c>
    </row>
    <row r="47" spans="1:19" s="767" customFormat="1" ht="15" thickBot="1" x14ac:dyDescent="0.25">
      <c r="A47" s="587" t="str">
        <f>IF(LEN(КАФЕДРА!A47)&gt;2,КАФЕДРА!A47,"")</f>
        <v>Клинической фармакологии</v>
      </c>
      <c r="B47" s="879" t="str">
        <f>КАФЕДРА!$D47</f>
        <v>ПЕДИАТРИИ</v>
      </c>
      <c r="C47" s="882">
        <f>IF(LEN(КАФЕДРА!$A47)&gt;2,КАФЕДРА!C47,0)</f>
        <v>0</v>
      </c>
      <c r="D47" s="775">
        <f>SUM(E47:H47)</f>
        <v>20000</v>
      </c>
      <c r="E47" s="1931">
        <v>20000</v>
      </c>
      <c r="F47" s="1899"/>
      <c r="G47" s="1899"/>
      <c r="H47" s="1231"/>
      <c r="I47" s="1232">
        <v>25650</v>
      </c>
      <c r="J47" s="1512"/>
      <c r="K47" s="1512"/>
      <c r="L47" s="1513"/>
      <c r="M47" s="1233"/>
      <c r="N47" s="1232"/>
      <c r="O47" s="1232"/>
      <c r="P47" s="1232"/>
      <c r="Q47" s="881">
        <f t="array" ref="Q47">IF(D47&lt;&gt;0,SUM(($I47:$P47)*($I$12:$P$12=Q$12))/D47*100,нет)</f>
        <v>128.25</v>
      </c>
      <c r="R47" s="881">
        <f t="array" ref="R47">SUM(($I47:$P47)*($I$12:$P$12=R$12)*($I$11:$P$11))</f>
        <v>25650</v>
      </c>
      <c r="S47" s="881">
        <f t="array" ref="S47">SUM(($I47:$P47)*($I$12:$P$12=S$12)*($I$11:$P$11))</f>
        <v>0</v>
      </c>
    </row>
    <row r="48" spans="1:19" x14ac:dyDescent="0.2">
      <c r="A48" s="582" t="str">
        <f>IF(LEN(КАФЕДРА!A48)&gt;2,КАФЕДРА!A48,"")</f>
        <v>Ортопедической стоматологии</v>
      </c>
      <c r="B48" s="788" t="str">
        <f>КАФЕДРА!$D48</f>
        <v>СТОМ</v>
      </c>
      <c r="C48" s="369">
        <f>IF(LEN(КАФЕДРА!$A48)&gt;2,КАФЕДРА!C48,0)</f>
        <v>0</v>
      </c>
      <c r="D48" s="770">
        <f t="shared" si="1"/>
        <v>55000</v>
      </c>
      <c r="E48" s="1929">
        <v>55000</v>
      </c>
      <c r="F48" s="1903"/>
      <c r="G48" s="1903"/>
      <c r="H48" s="1922"/>
      <c r="I48" s="1933">
        <v>48350</v>
      </c>
      <c r="J48" s="1917"/>
      <c r="K48" s="1917"/>
      <c r="L48" s="1918"/>
      <c r="M48" s="1229">
        <v>45400</v>
      </c>
      <c r="N48" s="869">
        <v>31900</v>
      </c>
      <c r="O48" s="869"/>
      <c r="P48" s="869">
        <v>22700</v>
      </c>
      <c r="Q48" s="721">
        <f t="array" ref="Q48">IF(D48&lt;&gt;0,SUM(($I48:$P48)*($I$12:$P$12=Q$12))/D48*100,нет)</f>
        <v>87.909090909090921</v>
      </c>
      <c r="R48" s="721">
        <f t="array" ref="R48">SUM(($I48:$P48)*($I$12:$P$12=R$12)*($I$11:$P$11))</f>
        <v>48350</v>
      </c>
      <c r="S48" s="721">
        <f t="array" ref="S48">SUM(($I48:$P48)*($I$12:$P$12=S$12)*($I$11:$P$11))</f>
        <v>77300</v>
      </c>
    </row>
    <row r="49" spans="1:19" x14ac:dyDescent="0.2">
      <c r="A49" s="551" t="str">
        <f>IF(LEN(КАФЕДРА!A49)&gt;2,КАФЕДРА!A49,"")</f>
        <v>Стоматологии детского возраста</v>
      </c>
      <c r="B49" s="789" t="str">
        <f>КАФЕДРА!$D49</f>
        <v>СТОМ</v>
      </c>
      <c r="C49" s="960">
        <f>IF(LEN(КАФЕДРА!$A49)&gt;2,КАФЕДРА!C49,0)</f>
        <v>0</v>
      </c>
      <c r="D49" s="867">
        <f t="shared" si="1"/>
        <v>18000</v>
      </c>
      <c r="E49" s="1929">
        <v>18000</v>
      </c>
      <c r="F49" s="1903"/>
      <c r="G49" s="1903"/>
      <c r="H49" s="1916"/>
      <c r="I49" s="1933">
        <v>86340</v>
      </c>
      <c r="J49" s="1917"/>
      <c r="K49" s="1917"/>
      <c r="L49" s="1918"/>
      <c r="M49" s="1229">
        <v>54000</v>
      </c>
      <c r="N49" s="869">
        <v>99400</v>
      </c>
      <c r="O49" s="869"/>
      <c r="P49" s="869"/>
      <c r="Q49" s="721">
        <f t="array" ref="Q49">IF(D49&lt;&gt;0,SUM(($I49:$P49)*($I$12:$P$12=Q$12))/D49*100,нет)</f>
        <v>479.66666666666669</v>
      </c>
      <c r="R49" s="721">
        <f t="array" ref="R49">SUM(($I49:$P49)*($I$12:$P$12=R$12)*($I$11:$P$11))</f>
        <v>86340</v>
      </c>
      <c r="S49" s="721">
        <f t="array" ref="S49">SUM(($I49:$P49)*($I$12:$P$12=S$12)*($I$11:$P$11))</f>
        <v>153400</v>
      </c>
    </row>
    <row r="50" spans="1:19" x14ac:dyDescent="0.2">
      <c r="A50" s="551" t="str">
        <f>IF(LEN(КАФЕДРА!A50)&gt;2,КАФЕДРА!A50,"")</f>
        <v>Терапевтической стоматологии</v>
      </c>
      <c r="B50" s="789" t="str">
        <f>КАФЕДРА!$D50</f>
        <v>СТОМ</v>
      </c>
      <c r="C50" s="960">
        <f>IF(LEN(КАФЕДРА!$A50)&gt;2,КАФЕДРА!C50,0)</f>
        <v>0</v>
      </c>
      <c r="D50" s="867">
        <f t="shared" si="1"/>
        <v>80000</v>
      </c>
      <c r="E50" s="1929">
        <v>80000</v>
      </c>
      <c r="F50" s="1903"/>
      <c r="G50" s="1903"/>
      <c r="H50" s="1916"/>
      <c r="I50" s="1933">
        <v>88910</v>
      </c>
      <c r="J50" s="1917"/>
      <c r="K50" s="1917"/>
      <c r="L50" s="1918"/>
      <c r="M50" s="1229">
        <v>43050</v>
      </c>
      <c r="N50" s="869">
        <v>106300</v>
      </c>
      <c r="O50" s="869"/>
      <c r="P50" s="869">
        <v>28200</v>
      </c>
      <c r="Q50" s="721">
        <f t="array" ref="Q50">IF(D50&lt;&gt;0,SUM(($I50:$P50)*($I$12:$P$12=Q$12))/D50*100,нет)</f>
        <v>111.1375</v>
      </c>
      <c r="R50" s="721">
        <f t="array" ref="R50">SUM(($I50:$P50)*($I$12:$P$12=R$12)*($I$11:$P$11))</f>
        <v>88910</v>
      </c>
      <c r="S50" s="721">
        <f t="array" ref="S50">SUM(($I50:$P50)*($I$12:$P$12=S$12)*($I$11:$P$11))</f>
        <v>149350</v>
      </c>
    </row>
    <row r="51" spans="1:19" x14ac:dyDescent="0.2">
      <c r="A51" s="551" t="str">
        <f>IF(LEN(КАФЕДРА!A51)&gt;2,КАФЕДРА!A51,"")</f>
        <v>Физической культуры и здорового образа жизни</v>
      </c>
      <c r="B51" s="789" t="str">
        <f>КАФЕДРА!$D51</f>
        <v>СТОМ</v>
      </c>
      <c r="C51" s="960">
        <f>IF(LEN(КАФЕДРА!$A51)&gt;2,КАФЕДРА!C51,0)</f>
        <v>0</v>
      </c>
      <c r="D51" s="867">
        <f t="shared" si="1"/>
        <v>0</v>
      </c>
      <c r="E51" s="1929"/>
      <c r="F51" s="1903"/>
      <c r="G51" s="1903"/>
      <c r="H51" s="1923"/>
      <c r="I51" s="1933"/>
      <c r="J51" s="1917"/>
      <c r="K51" s="1917"/>
      <c r="L51" s="1918"/>
      <c r="M51" s="1229"/>
      <c r="N51" s="869"/>
      <c r="O51" s="869"/>
      <c r="P51" s="869"/>
      <c r="Q51" s="721" t="str">
        <f t="array" ref="Q51">IF(D51&lt;&gt;0,SUM(($I51:$P51)*($I$12:$P$12=Q$12))/D51*100,нет)</f>
        <v>нет</v>
      </c>
      <c r="R51" s="721">
        <f t="array" ref="R51">SUM(($I51:$P51)*($I$12:$P$12=R$12)*($I$11:$P$11))</f>
        <v>0</v>
      </c>
      <c r="S51" s="721">
        <f t="array" ref="S51">SUM(($I51:$P51)*($I$12:$P$12=S$12)*($I$11:$P$11))</f>
        <v>0</v>
      </c>
    </row>
    <row r="52" spans="1:19" ht="15" thickBot="1" x14ac:dyDescent="0.25">
      <c r="A52" s="553" t="str">
        <f>IF(LEN(КАФЕДРА!A52)&gt;2,КАФЕДРА!A52,"")</f>
        <v>Хирургической стоматологии, челюстно-лицевой хирургии</v>
      </c>
      <c r="B52" s="790" t="str">
        <f>КАФЕДРА!$D52</f>
        <v>СТОМ</v>
      </c>
      <c r="C52" s="373">
        <f>IF(LEN(КАФЕДРА!$A52)&gt;2,КАФЕДРА!C52,0)</f>
        <v>0</v>
      </c>
      <c r="D52" s="771">
        <f t="shared" si="1"/>
        <v>60000</v>
      </c>
      <c r="E52" s="1930">
        <v>60000</v>
      </c>
      <c r="F52" s="1904"/>
      <c r="G52" s="1904"/>
      <c r="H52" s="1920"/>
      <c r="I52" s="1934">
        <v>0</v>
      </c>
      <c r="J52" s="1921"/>
      <c r="K52" s="1921"/>
      <c r="L52" s="1510"/>
      <c r="M52" s="1230">
        <v>85900</v>
      </c>
      <c r="N52" s="778">
        <v>63200</v>
      </c>
      <c r="O52" s="778">
        <v>54000</v>
      </c>
      <c r="P52" s="778"/>
      <c r="Q52" s="723">
        <f t="array" ref="Q52">IF(D52&lt;&gt;0,SUM(($I52:$P52)*($I$12:$P$12=Q$12))/D52*100,нет)</f>
        <v>0</v>
      </c>
      <c r="R52" s="723">
        <f t="array" ref="R52">SUM(($I52:$P52)*($I$12:$P$12=R$12)*($I$11:$P$11))</f>
        <v>0</v>
      </c>
      <c r="S52" s="723">
        <f t="array" ref="S52">SUM(($I52:$P52)*($I$12:$P$12=S$12)*($I$11:$P$11))</f>
        <v>149100</v>
      </c>
    </row>
    <row r="53" spans="1:19" x14ac:dyDescent="0.2">
      <c r="A53" s="582" t="str">
        <f>IF(LEN(КАФЕДРА!A53)&gt;2,КАФЕДРА!A53,"")</f>
        <v>Биологии, гистологии, эмбриологии и цитологии</v>
      </c>
      <c r="B53" s="791" t="str">
        <f>КАФЕДРА!$D53</f>
        <v>ОЗДОРОВЬЯ</v>
      </c>
      <c r="C53" s="369">
        <f>IF(LEN(КАФЕДРА!$A53)&gt;2,КАФЕДРА!C53,0)</f>
        <v>0</v>
      </c>
      <c r="D53" s="770">
        <f t="shared" si="1"/>
        <v>10000</v>
      </c>
      <c r="E53" s="1929">
        <v>10000</v>
      </c>
      <c r="F53" s="1903"/>
      <c r="G53" s="1903"/>
      <c r="H53" s="1922"/>
      <c r="I53" s="1933">
        <v>0</v>
      </c>
      <c r="J53" s="1917"/>
      <c r="K53" s="1917"/>
      <c r="L53" s="1918"/>
      <c r="M53" s="1229"/>
      <c r="N53" s="869"/>
      <c r="O53" s="869"/>
      <c r="P53" s="869"/>
      <c r="Q53" s="721">
        <f t="array" ref="Q53">IF(D53&lt;&gt;0,SUM(($I53:$P53)*($I$12:$P$12=Q$12))/D53*100,нет)</f>
        <v>0</v>
      </c>
      <c r="R53" s="721">
        <f t="array" ref="R53">SUM(($I53:$P53)*($I$12:$P$12=R$12)*($I$11:$P$11))</f>
        <v>0</v>
      </c>
      <c r="S53" s="721">
        <f t="array" ref="S53">SUM(($I53:$P53)*($I$12:$P$12=S$12)*($I$11:$P$11))</f>
        <v>0</v>
      </c>
    </row>
    <row r="54" spans="1:19" x14ac:dyDescent="0.2">
      <c r="A54" s="551" t="str">
        <f>IF(LEN(КАФЕДРА!A54)&gt;2,КАФЕДРА!A54,"")</f>
        <v>Гигиены и основ экологии</v>
      </c>
      <c r="B54" s="792" t="str">
        <f>КАФЕДРА!$D54</f>
        <v>ОЗДОРОВЬЯ</v>
      </c>
      <c r="C54" s="960">
        <f>IF(LEN(КАФЕДРА!$A54)&gt;2,КАФЕДРА!C54,0)</f>
        <v>0</v>
      </c>
      <c r="D54" s="867">
        <f t="shared" si="1"/>
        <v>40000</v>
      </c>
      <c r="E54" s="1929">
        <v>40000</v>
      </c>
      <c r="F54" s="1903"/>
      <c r="G54" s="1903"/>
      <c r="H54" s="1916"/>
      <c r="I54" s="1933">
        <v>4839</v>
      </c>
      <c r="J54" s="1917"/>
      <c r="K54" s="1917"/>
      <c r="L54" s="1918"/>
      <c r="M54" s="1229">
        <v>14900</v>
      </c>
      <c r="N54" s="869"/>
      <c r="O54" s="869">
        <v>11000</v>
      </c>
      <c r="P54" s="869"/>
      <c r="Q54" s="721">
        <f t="array" ref="Q54">IF(D54&lt;&gt;0,SUM(($I54:$P54)*($I$12:$P$12=Q$12))/D54*100,нет)</f>
        <v>12.0975</v>
      </c>
      <c r="R54" s="721">
        <f t="array" ref="R54">SUM(($I54:$P54)*($I$12:$P$12=R$12)*($I$11:$P$11))</f>
        <v>4839</v>
      </c>
      <c r="S54" s="721">
        <f t="array" ref="S54">SUM(($I54:$P54)*($I$12:$P$12=S$12)*($I$11:$P$11))</f>
        <v>14900</v>
      </c>
    </row>
    <row r="55" spans="1:19" x14ac:dyDescent="0.2">
      <c r="A55" s="551" t="str">
        <f>IF(LEN(КАФЕДРА!A55)&gt;2,КАФЕДРА!A55,"")</f>
        <v>Дерматовенерологии, косметологии и иммунологии</v>
      </c>
      <c r="B55" s="792" t="str">
        <f>КАФЕДРА!$D55</f>
        <v>ОЗДОРОВЬЯ</v>
      </c>
      <c r="C55" s="960">
        <f>IF(LEN(КАФЕДРА!$A55)&gt;2,КАФЕДРА!C55,0)</f>
        <v>0</v>
      </c>
      <c r="D55" s="867">
        <f t="shared" si="1"/>
        <v>185000</v>
      </c>
      <c r="E55" s="1929">
        <v>185000</v>
      </c>
      <c r="F55" s="1903"/>
      <c r="G55" s="1903"/>
      <c r="H55" s="1916"/>
      <c r="I55" s="1933">
        <v>363400</v>
      </c>
      <c r="J55" s="1917"/>
      <c r="K55" s="1917"/>
      <c r="L55" s="1918"/>
      <c r="M55" s="1229">
        <v>171800</v>
      </c>
      <c r="N55" s="869">
        <v>488700</v>
      </c>
      <c r="O55" s="869">
        <v>337800</v>
      </c>
      <c r="P55" s="869">
        <v>69400</v>
      </c>
      <c r="Q55" s="721">
        <f t="array" ref="Q55">IF(D55&lt;&gt;0,SUM(($I55:$P55)*($I$12:$P$12=Q$12))/D55*100,нет)</f>
        <v>196.43243243243242</v>
      </c>
      <c r="R55" s="721">
        <f t="array" ref="R55">SUM(($I55:$P55)*($I$12:$P$12=R$12)*($I$11:$P$11))</f>
        <v>363400</v>
      </c>
      <c r="S55" s="721">
        <f t="array" ref="S55">SUM(($I55:$P55)*($I$12:$P$12=S$12)*($I$11:$P$11))</f>
        <v>660500</v>
      </c>
    </row>
    <row r="56" spans="1:19" x14ac:dyDescent="0.2">
      <c r="A56" s="551" t="str">
        <f>IF(LEN(КАФЕДРА!A56)&gt;2,КАФЕДРА!A56,"")</f>
        <v>Инфекционных болезней с курсом ДПО</v>
      </c>
      <c r="B56" s="792" t="str">
        <f>КАФЕДРА!$D56</f>
        <v>ОЗДОРОВЬЯ</v>
      </c>
      <c r="C56" s="960">
        <f>IF(LEN(КАФЕДРА!$A56)&gt;2,КАФЕДРА!C56,0)</f>
        <v>0</v>
      </c>
      <c r="D56" s="867">
        <f t="shared" si="1"/>
        <v>45000</v>
      </c>
      <c r="E56" s="1929">
        <v>45000</v>
      </c>
      <c r="F56" s="1903"/>
      <c r="G56" s="1903"/>
      <c r="H56" s="1916"/>
      <c r="I56" s="1933">
        <v>800</v>
      </c>
      <c r="J56" s="1917"/>
      <c r="K56" s="1917"/>
      <c r="L56" s="1918"/>
      <c r="M56" s="1229">
        <v>58200</v>
      </c>
      <c r="N56" s="869">
        <v>49000</v>
      </c>
      <c r="O56" s="869"/>
      <c r="P56" s="869">
        <v>13800</v>
      </c>
      <c r="Q56" s="721">
        <f t="array" ref="Q56">IF(D56&lt;&gt;0,SUM(($I56:$P56)*($I$12:$P$12=Q$12))/D56*100,нет)</f>
        <v>1.7777777777777777</v>
      </c>
      <c r="R56" s="721">
        <f t="array" ref="R56">SUM(($I56:$P56)*($I$12:$P$12=R$12)*($I$11:$P$11))</f>
        <v>800</v>
      </c>
      <c r="S56" s="721">
        <f t="array" ref="S56">SUM(($I56:$P56)*($I$12:$P$12=S$12)*($I$11:$P$11))</f>
        <v>107200</v>
      </c>
    </row>
    <row r="57" spans="1:19" x14ac:dyDescent="0.2">
      <c r="A57" s="551" t="str">
        <f>IF(LEN(КАФЕДРА!A57)&gt;2,КАФЕДРА!A57,"")</f>
        <v>Медицины катастроф и безопасности жизнедеятельности</v>
      </c>
      <c r="B57" s="792" t="str">
        <f>КАФЕДРА!$D57</f>
        <v>ОЗДОРОВЬЯ</v>
      </c>
      <c r="C57" s="960">
        <f>IF(LEN(КАФЕДРА!$A57)&gt;2,КАФЕДРА!C57,0)</f>
        <v>0</v>
      </c>
      <c r="D57" s="867">
        <f t="shared" si="1"/>
        <v>703000</v>
      </c>
      <c r="E57" s="1929">
        <f>53000+E79</f>
        <v>703000</v>
      </c>
      <c r="F57" s="1903"/>
      <c r="G57" s="1903"/>
      <c r="H57" s="1916"/>
      <c r="I57" s="1933">
        <f>0+I79</f>
        <v>341223</v>
      </c>
      <c r="J57" s="1917"/>
      <c r="K57" s="1917"/>
      <c r="L57" s="1918"/>
      <c r="M57" s="1229">
        <v>367566</v>
      </c>
      <c r="N57" s="869">
        <v>416198.58</v>
      </c>
      <c r="O57" s="869"/>
      <c r="P57" s="869">
        <v>191466.3</v>
      </c>
      <c r="Q57" s="721">
        <f t="array" ref="Q57">IF(D57&lt;&gt;0,SUM(($I57:$P57)*($I$12:$P$12=Q$12))/D57*100,нет)</f>
        <v>48.538122332859174</v>
      </c>
      <c r="R57" s="721">
        <f t="array" ref="R57">SUM(($I57:$P57)*($I$12:$P$12=R$12)*($I$11:$P$11))</f>
        <v>341223</v>
      </c>
      <c r="S57" s="721">
        <f t="array" ref="S57">SUM(($I57:$P57)*($I$12:$P$12=S$12)*($I$11:$P$11))</f>
        <v>783764.58000000007</v>
      </c>
    </row>
    <row r="58" spans="1:19" x14ac:dyDescent="0.2">
      <c r="A58" s="551" t="str">
        <f>IF(LEN(КАФЕДРА!A58)&gt;2,КАФЕДРА!A58,"")</f>
        <v>Медицинского права</v>
      </c>
      <c r="B58" s="792" t="str">
        <f>КАФЕДРА!$D58</f>
        <v>ОЗДОРОВЬЯ</v>
      </c>
      <c r="C58" s="960">
        <f>IF(LEN(КАФЕДРА!$A58)&gt;2,КАФЕДРА!C58,0)</f>
        <v>0</v>
      </c>
      <c r="D58" s="867">
        <f>SUM(E58:H58)</f>
        <v>50000</v>
      </c>
      <c r="E58" s="1929">
        <v>50000</v>
      </c>
      <c r="F58" s="1903"/>
      <c r="G58" s="1903"/>
      <c r="H58" s="1916"/>
      <c r="I58" s="1933">
        <v>0</v>
      </c>
      <c r="J58" s="1917"/>
      <c r="K58" s="1917"/>
      <c r="L58" s="1918"/>
      <c r="M58" s="1229"/>
      <c r="N58" s="869">
        <v>5500</v>
      </c>
      <c r="O58" s="869"/>
      <c r="P58" s="869"/>
      <c r="Q58" s="721">
        <f t="array" ref="Q58">IF(D58&lt;&gt;0,SUM(($I58:$P58)*($I$12:$P$12=Q$12))/D58*100,нет)</f>
        <v>0</v>
      </c>
      <c r="R58" s="721">
        <f t="array" ref="R58">SUM(($I58:$P58)*($I$12:$P$12=R$12)*($I$11:$P$11))</f>
        <v>0</v>
      </c>
      <c r="S58" s="721">
        <f t="array" ref="S58">SUM(($I58:$P58)*($I$12:$P$12=S$12)*($I$11:$P$11))</f>
        <v>5500</v>
      </c>
    </row>
    <row r="59" spans="1:19" x14ac:dyDescent="0.2">
      <c r="A59" s="551" t="str">
        <f>IF(LEN(КАФЕДРА!A59)&gt;2,КАФЕДРА!A59,"")</f>
        <v>Общественного здоровья и здравоохранения</v>
      </c>
      <c r="B59" s="792" t="str">
        <f>КАФЕДРА!$D59</f>
        <v>ОЗДОРОВЬЯ</v>
      </c>
      <c r="C59" s="960">
        <f>IF(LEN(КАФЕДРА!$A59)&gt;2,КАФЕДРА!C59,0)</f>
        <v>0</v>
      </c>
      <c r="D59" s="867">
        <f t="shared" si="1"/>
        <v>0</v>
      </c>
      <c r="E59" s="1929"/>
      <c r="F59" s="1903"/>
      <c r="G59" s="1903"/>
      <c r="H59" s="1916"/>
      <c r="I59" s="1933"/>
      <c r="J59" s="1917"/>
      <c r="K59" s="1917"/>
      <c r="L59" s="1918"/>
      <c r="M59" s="1229"/>
      <c r="N59" s="869"/>
      <c r="O59" s="869"/>
      <c r="P59" s="869"/>
      <c r="Q59" s="721" t="str">
        <f t="array" ref="Q59">IF(D59&lt;&gt;0,SUM(($I59:$P59)*($I$12:$P$12=Q$12))/D59*100,нет)</f>
        <v>нет</v>
      </c>
      <c r="R59" s="721">
        <f t="array" ref="R59">SUM(($I59:$P59)*($I$12:$P$12=R$12)*($I$11:$P$11))</f>
        <v>0</v>
      </c>
      <c r="S59" s="721">
        <f t="array" ref="S59">SUM(($I59:$P59)*($I$12:$P$12=S$12)*($I$11:$P$11))</f>
        <v>0</v>
      </c>
    </row>
    <row r="60" spans="1:19" x14ac:dyDescent="0.2">
      <c r="A60" s="551" t="str">
        <f>IF(LEN(КАФЕДРА!A60)&gt;2,КАФЕДРА!A60,"")</f>
        <v>Пульмонологии и фтизиатрии с курсом ДПО</v>
      </c>
      <c r="B60" s="792" t="str">
        <f>КАФЕДРА!$D60</f>
        <v>ОЗДОРОВЬЯ</v>
      </c>
      <c r="C60" s="960">
        <f>IF(LEN(КАФЕДРА!$A60)&gt;2,КАФЕДРА!C60,0)</f>
        <v>0</v>
      </c>
      <c r="D60" s="867">
        <f t="shared" si="1"/>
        <v>30000</v>
      </c>
      <c r="E60" s="1929">
        <v>30000</v>
      </c>
      <c r="F60" s="1903"/>
      <c r="G60" s="1903"/>
      <c r="H60" s="1916"/>
      <c r="I60" s="1933">
        <v>32102</v>
      </c>
      <c r="J60" s="1917"/>
      <c r="K60" s="1917"/>
      <c r="L60" s="1918"/>
      <c r="M60" s="1229">
        <v>76000</v>
      </c>
      <c r="N60" s="869">
        <v>4600</v>
      </c>
      <c r="O60" s="869">
        <v>112600</v>
      </c>
      <c r="P60" s="869">
        <v>17400</v>
      </c>
      <c r="Q60" s="721">
        <f t="array" ref="Q60">IF(D60&lt;&gt;0,SUM(($I60:$P60)*($I$12:$P$12=Q$12))/D60*100,нет)</f>
        <v>107.00666666666667</v>
      </c>
      <c r="R60" s="721">
        <f t="array" ref="R60">SUM(($I60:$P60)*($I$12:$P$12=R$12)*($I$11:$P$11))</f>
        <v>32102</v>
      </c>
      <c r="S60" s="721">
        <f t="array" ref="S60">SUM(($I60:$P60)*($I$12:$P$12=S$12)*($I$11:$P$11))</f>
        <v>80600</v>
      </c>
    </row>
    <row r="61" spans="1:19" x14ac:dyDescent="0.2">
      <c r="A61" s="551" t="str">
        <f>IF(LEN(КАФЕДРА!A61)&gt;2,КАФЕДРА!A61,"")</f>
        <v>Эпидемиологии, микробиологии и вирусологии</v>
      </c>
      <c r="B61" s="792" t="str">
        <f>КАФЕДРА!$D61</f>
        <v>ОЗДОРОВЬЯ</v>
      </c>
      <c r="C61" s="960">
        <f>IF(LEN(КАФЕДРА!$A61)&gt;2,КАФЕДРА!C61,0)</f>
        <v>0</v>
      </c>
      <c r="D61" s="867">
        <f t="shared" si="1"/>
        <v>60000</v>
      </c>
      <c r="E61" s="1929">
        <v>60000</v>
      </c>
      <c r="F61" s="1903"/>
      <c r="G61" s="1903"/>
      <c r="H61" s="1916"/>
      <c r="I61" s="1933">
        <v>49188</v>
      </c>
      <c r="J61" s="1917"/>
      <c r="K61" s="1917"/>
      <c r="L61" s="1918"/>
      <c r="M61" s="1229">
        <v>116450</v>
      </c>
      <c r="N61" s="869">
        <v>162056.76999999999</v>
      </c>
      <c r="O61" s="869">
        <v>55750</v>
      </c>
      <c r="P61" s="869">
        <v>5500</v>
      </c>
      <c r="Q61" s="721">
        <f t="array" ref="Q61">IF(D61&lt;&gt;0,SUM(($I61:$P61)*($I$12:$P$12=Q$12))/D61*100,нет)</f>
        <v>81.98</v>
      </c>
      <c r="R61" s="721">
        <f t="array" ref="R61">SUM(($I61:$P61)*($I$12:$P$12=R$12)*($I$11:$P$11))</f>
        <v>49188</v>
      </c>
      <c r="S61" s="721">
        <f t="array" ref="S61">SUM(($I61:$P61)*($I$12:$P$12=S$12)*($I$11:$P$11))</f>
        <v>278506.77</v>
      </c>
    </row>
    <row r="62" spans="1:19" ht="15" thickBot="1" x14ac:dyDescent="0.25">
      <c r="A62" s="553" t="str">
        <f>IF(LEN(КАФЕДРА!A62)&gt;2,КАФЕДРА!A62,"")</f>
        <v>Социально-гуманитарных наук</v>
      </c>
      <c r="B62" s="793" t="str">
        <f>КАФЕДРА!$D62</f>
        <v>ОЗДОРОВЬЯ</v>
      </c>
      <c r="C62" s="373">
        <f>IF(LEN(КАФЕДРА!$A62)&gt;2,КАФЕДРА!C62,0)</f>
        <v>0</v>
      </c>
      <c r="D62" s="771">
        <f>SUM(E62:H62)</f>
        <v>5000</v>
      </c>
      <c r="E62" s="1930">
        <v>5000</v>
      </c>
      <c r="F62" s="1904"/>
      <c r="G62" s="1904"/>
      <c r="H62" s="1923"/>
      <c r="I62" s="1934">
        <v>1600</v>
      </c>
      <c r="J62" s="1921"/>
      <c r="K62" s="1921"/>
      <c r="L62" s="1918"/>
      <c r="M62" s="1230">
        <v>9900</v>
      </c>
      <c r="N62" s="778">
        <v>11500</v>
      </c>
      <c r="O62" s="778"/>
      <c r="P62" s="778"/>
      <c r="Q62" s="723">
        <f t="array" ref="Q62">IF(D62&lt;&gt;0,SUM(($I62:$P62)*($I$12:$P$12=Q$12))/D62*100,нет)</f>
        <v>32</v>
      </c>
      <c r="R62" s="723">
        <f t="array" ref="R62">SUM(($I62:$P62)*($I$12:$P$12=R$12)*($I$11:$P$11))</f>
        <v>1600</v>
      </c>
      <c r="S62" s="723">
        <f t="array" ref="S62">SUM(($I62:$P62)*($I$12:$P$12=S$12)*($I$11:$P$11))</f>
        <v>21400</v>
      </c>
    </row>
    <row r="63" spans="1:19" ht="15" thickBot="1" x14ac:dyDescent="0.25">
      <c r="A63" s="583" t="str">
        <f>IF(LEN(КАФЕДРА!A63)&gt;2,КАФЕДРА!A63,"")</f>
        <v>Сестринского дела</v>
      </c>
      <c r="B63" s="807" t="str">
        <f>КАФЕДРА!$D63</f>
        <v>СПО</v>
      </c>
      <c r="C63" s="580">
        <f>IF(LEN(КАФЕДРА!$A63)&gt;2,КАФЕДРА!C63,0)</f>
        <v>0</v>
      </c>
      <c r="D63" s="581">
        <f>SUM(E63:H63)</f>
        <v>88000</v>
      </c>
      <c r="E63" s="1930">
        <v>88000</v>
      </c>
      <c r="F63" s="1904"/>
      <c r="G63" s="1904"/>
      <c r="H63" s="1816"/>
      <c r="I63" s="1934">
        <v>88000</v>
      </c>
      <c r="J63" s="1921"/>
      <c r="K63" s="1921"/>
      <c r="L63" s="1834"/>
      <c r="M63" s="1230"/>
      <c r="N63" s="778"/>
      <c r="O63" s="778"/>
      <c r="P63" s="778"/>
      <c r="Q63" s="724">
        <f t="array" ref="Q63">IF(D63&lt;&gt;0,SUM(($I63:$P63)*($I$12:$P$12=Q$12))/D63*100,нет)</f>
        <v>100</v>
      </c>
      <c r="R63" s="724">
        <f t="array" ref="R63">SUM(($I63:$P63)*($I$12:$P$12=R$12)*($I$11:$P$11))</f>
        <v>88000</v>
      </c>
      <c r="S63" s="724">
        <f t="array" ref="S63">SUM(($I63:$P63)*($I$12:$P$12=S$12)*($I$11:$P$11))</f>
        <v>0</v>
      </c>
    </row>
    <row r="64" spans="1:19" x14ac:dyDescent="0.2">
      <c r="A64" s="582" t="str">
        <f>IF(LEN(КАФЕДРА!A64)&gt;2,КАФЕДРА!A64,"")</f>
        <v>Биологической химии, клинической лабораторной диагностики</v>
      </c>
      <c r="B64" s="805" t="str">
        <f>КАФЕДРА!$D64</f>
        <v>ФАРМ</v>
      </c>
      <c r="C64" s="369">
        <f>IF(LEN(КАФЕДРА!$A64)&gt;2,КАФЕДРА!C64,0)</f>
        <v>0</v>
      </c>
      <c r="D64" s="770">
        <f t="shared" si="1"/>
        <v>30000</v>
      </c>
      <c r="E64" s="1932">
        <v>30000</v>
      </c>
      <c r="F64" s="1905"/>
      <c r="G64" s="1905"/>
      <c r="H64" s="1922"/>
      <c r="I64" s="1935">
        <v>72563</v>
      </c>
      <c r="J64" s="1924"/>
      <c r="K64" s="1924"/>
      <c r="L64" s="1511"/>
      <c r="M64" s="1234">
        <v>113600</v>
      </c>
      <c r="N64" s="777">
        <v>83125</v>
      </c>
      <c r="O64" s="777">
        <v>17400</v>
      </c>
      <c r="P64" s="777">
        <v>13103.38</v>
      </c>
      <c r="Q64" s="721">
        <f t="array" ref="Q64">IF(D64&lt;&gt;0,SUM(($I64:$P64)*($I$12:$P$12=Q$12))/D64*100,нет)</f>
        <v>241.87666666666667</v>
      </c>
      <c r="R64" s="721">
        <f t="array" ref="R64">SUM(($I64:$P64)*($I$12:$P$12=R$12)*($I$11:$P$11))</f>
        <v>72563</v>
      </c>
      <c r="S64" s="721">
        <f t="array" ref="S64">SUM(($I64:$P64)*($I$12:$P$12=S$12)*($I$11:$P$11))</f>
        <v>196725</v>
      </c>
    </row>
    <row r="65" spans="1:39" x14ac:dyDescent="0.2">
      <c r="A65" s="551" t="str">
        <f>IF(LEN(КАФЕДРА!A65)&gt;2,КАФЕДРА!A65,"")</f>
        <v>Химии</v>
      </c>
      <c r="B65" s="797" t="str">
        <f>КАФЕДРА!$D65</f>
        <v>ФАРМ</v>
      </c>
      <c r="C65" s="960">
        <f>IF(LEN(КАФЕДРА!$A65)&gt;2,КАФЕДРА!C65,0)</f>
        <v>0</v>
      </c>
      <c r="D65" s="867">
        <f t="shared" si="1"/>
        <v>0</v>
      </c>
      <c r="E65" s="1929"/>
      <c r="F65" s="1903"/>
      <c r="G65" s="1903"/>
      <c r="H65" s="1916"/>
      <c r="I65" s="1933"/>
      <c r="J65" s="1917"/>
      <c r="K65" s="1917"/>
      <c r="L65" s="1918"/>
      <c r="M65" s="1229"/>
      <c r="N65" s="869"/>
      <c r="O65" s="869"/>
      <c r="P65" s="869"/>
      <c r="Q65" s="721" t="str">
        <f t="array" ref="Q65">IF(D65&lt;&gt;0,SUM(($I65:$P65)*($I$12:$P$12=Q$12))/D65*100,нет)</f>
        <v>нет</v>
      </c>
      <c r="R65" s="721">
        <f t="array" ref="R65">SUM(($I65:$P65)*($I$12:$P$12=R$12)*($I$11:$P$11))</f>
        <v>0</v>
      </c>
      <c r="S65" s="721">
        <f t="array" ref="S65">SUM(($I65:$P65)*($I$12:$P$12=S$12)*($I$11:$P$11))</f>
        <v>0</v>
      </c>
    </row>
    <row r="66" spans="1:39" x14ac:dyDescent="0.2">
      <c r="A66" s="551" t="str">
        <f>IF(LEN(КАФЕДРА!A66)&gt;2,КАФЕДРА!A66,"")</f>
        <v>Фармакологии имени профессора В.М. Брюханова</v>
      </c>
      <c r="B66" s="797" t="str">
        <f>КАФЕДРА!$D66</f>
        <v>ФАРМ</v>
      </c>
      <c r="C66" s="960">
        <f>IF(LEN(КАФЕДРА!$A66)&gt;2,КАФЕДРА!C66,0)</f>
        <v>0</v>
      </c>
      <c r="D66" s="867">
        <f t="shared" si="1"/>
        <v>20000</v>
      </c>
      <c r="E66" s="1929">
        <v>20000</v>
      </c>
      <c r="F66" s="1903"/>
      <c r="G66" s="1903"/>
      <c r="H66" s="1916"/>
      <c r="I66" s="1933">
        <v>0</v>
      </c>
      <c r="J66" s="1917"/>
      <c r="K66" s="1917"/>
      <c r="L66" s="1918"/>
      <c r="M66" s="1229"/>
      <c r="N66" s="869"/>
      <c r="O66" s="869"/>
      <c r="P66" s="869"/>
      <c r="Q66" s="721">
        <f t="array" ref="Q66">IF(D66&lt;&gt;0,SUM(($I66:$P66)*($I$12:$P$12=Q$12))/D66*100,нет)</f>
        <v>0</v>
      </c>
      <c r="R66" s="721">
        <f t="array" ref="R66">SUM(($I66:$P66)*($I$12:$P$12=R$12)*($I$11:$P$11))</f>
        <v>0</v>
      </c>
      <c r="S66" s="721">
        <f t="array" ref="S66">SUM(($I66:$P66)*($I$12:$P$12=S$12)*($I$11:$P$11))</f>
        <v>0</v>
      </c>
    </row>
    <row r="67" spans="1:39" x14ac:dyDescent="0.2">
      <c r="A67" s="551" t="str">
        <f>IF(LEN(КАФЕДРА!A67)&gt;2,КАФЕДРА!A67,"")</f>
        <v>Фармации</v>
      </c>
      <c r="B67" s="797" t="str">
        <f>КАФЕДРА!$D67</f>
        <v>ФАРМ</v>
      </c>
      <c r="C67" s="960">
        <f>IF(LEN(КАФЕДРА!$A67)&gt;2,КАФЕДРА!C67,0)</f>
        <v>0</v>
      </c>
      <c r="D67" s="867">
        <f t="shared" si="1"/>
        <v>20000</v>
      </c>
      <c r="E67" s="1929">
        <v>20000</v>
      </c>
      <c r="F67" s="1903"/>
      <c r="G67" s="1903"/>
      <c r="H67" s="1916"/>
      <c r="I67" s="1933">
        <v>46963</v>
      </c>
      <c r="J67" s="1917"/>
      <c r="K67" s="1917"/>
      <c r="L67" s="1918"/>
      <c r="M67" s="1229">
        <v>18300</v>
      </c>
      <c r="N67" s="869">
        <v>11200</v>
      </c>
      <c r="O67" s="869">
        <v>5600</v>
      </c>
      <c r="P67" s="869">
        <v>12700</v>
      </c>
      <c r="Q67" s="721">
        <f t="array" ref="Q67">IF(D67&lt;&gt;0,SUM(($I67:$P67)*($I$12:$P$12=Q$12))/D67*100,нет)</f>
        <v>234.815</v>
      </c>
      <c r="R67" s="721">
        <f t="array" ref="R67">SUM(($I67:$P67)*($I$12:$P$12=R$12)*($I$11:$P$11))</f>
        <v>46963</v>
      </c>
      <c r="S67" s="721">
        <f t="array" ref="S67">SUM(($I67:$P67)*($I$12:$P$12=S$12)*($I$11:$P$11))</f>
        <v>29500</v>
      </c>
    </row>
    <row r="68" spans="1:39" ht="15" thickBot="1" x14ac:dyDescent="0.25">
      <c r="A68" s="553" t="str">
        <f>IF(LEN(КАФЕДРА!A68)&gt;2,КАФЕДРА!A68,"")</f>
        <v>Физики и информатики</v>
      </c>
      <c r="B68" s="798" t="str">
        <f>КАФЕДРА!$D68</f>
        <v>ФАРМ</v>
      </c>
      <c r="C68" s="373">
        <f>IF(LEN(КАФЕДРА!$A68)&gt;2,КАФЕДРА!C68,0)</f>
        <v>0</v>
      </c>
      <c r="D68" s="771">
        <f t="shared" si="1"/>
        <v>15000</v>
      </c>
      <c r="E68" s="1930">
        <v>15000</v>
      </c>
      <c r="F68" s="1904"/>
      <c r="G68" s="1904"/>
      <c r="H68" s="1920"/>
      <c r="I68" s="1934">
        <v>800</v>
      </c>
      <c r="J68" s="1921"/>
      <c r="K68" s="1921"/>
      <c r="L68" s="1510"/>
      <c r="M68" s="1230"/>
      <c r="N68" s="778">
        <v>3000</v>
      </c>
      <c r="O68" s="778"/>
      <c r="P68" s="778">
        <v>2300</v>
      </c>
      <c r="Q68" s="723">
        <f t="array" ref="Q68">IF(D68&lt;&gt;0,SUM(($I68:$P68)*($I$12:$P$12=Q$12))/D68*100,нет)</f>
        <v>5.3333333333333339</v>
      </c>
      <c r="R68" s="723">
        <f t="array" ref="R68">SUM(($I68:$P68)*($I$12:$P$12=R$12)*($I$11:$P$11))</f>
        <v>800</v>
      </c>
      <c r="S68" s="723">
        <f t="array" ref="S68">SUM(($I68:$P68)*($I$12:$P$12=S$12)*($I$11:$P$11))</f>
        <v>3000</v>
      </c>
    </row>
    <row r="69" spans="1:39" x14ac:dyDescent="0.2">
      <c r="A69" s="582" t="str">
        <f>IF(LEN(КАФЕДРА!A69)&gt;2,КАФЕДРА!A69,"")</f>
        <v>Клинической психологии</v>
      </c>
      <c r="B69" s="799" t="str">
        <f>КАФЕДРА!$D69</f>
        <v>КПСИХОЛОГИИ</v>
      </c>
      <c r="C69" s="369">
        <f>IF(LEN(КАФЕДРА!$A69)&gt;2,КАФЕДРА!C69,0)</f>
        <v>0</v>
      </c>
      <c r="D69" s="770">
        <f t="shared" si="1"/>
        <v>0</v>
      </c>
      <c r="E69" s="1929"/>
      <c r="F69" s="1903"/>
      <c r="G69" s="1903"/>
      <c r="H69" s="1922"/>
      <c r="I69" s="1933"/>
      <c r="J69" s="1917"/>
      <c r="K69" s="1917"/>
      <c r="L69" s="1511"/>
      <c r="M69" s="1229"/>
      <c r="N69" s="869"/>
      <c r="O69" s="869"/>
      <c r="P69" s="869"/>
      <c r="Q69" s="721" t="str">
        <f t="array" ref="Q69">IF(D69&lt;&gt;0,SUM(($I69:$P69)*($I$12:$P$12=Q$12))/D69*100,нет)</f>
        <v>нет</v>
      </c>
      <c r="R69" s="721">
        <f t="array" ref="R69">SUM(($I69:$P69)*($I$12:$P$12=R$12)*($I$11:$P$11))</f>
        <v>0</v>
      </c>
      <c r="S69" s="721">
        <f t="array" ref="S69">SUM(($I69:$P69)*($I$12:$P$12=S$12)*($I$11:$P$11))</f>
        <v>0</v>
      </c>
    </row>
    <row r="70" spans="1:39" x14ac:dyDescent="0.2">
      <c r="A70" s="551" t="str">
        <f>IF(LEN(КАФЕДРА!A70)&gt;2,КАФЕДРА!A70,"")</f>
        <v>Медицинской реабилитологии с курсом ДПО</v>
      </c>
      <c r="B70" s="800" t="str">
        <f>КАФЕДРА!$D70</f>
        <v>КПСИХОЛОГИИ</v>
      </c>
      <c r="C70" s="960">
        <f>IF(LEN(КАФЕДРА!$A70)&gt;2,КАФЕДРА!C70,0)</f>
        <v>0</v>
      </c>
      <c r="D70" s="867">
        <f t="shared" si="1"/>
        <v>600000</v>
      </c>
      <c r="E70" s="1929">
        <v>600000</v>
      </c>
      <c r="F70" s="1903"/>
      <c r="G70" s="1903"/>
      <c r="H70" s="1916"/>
      <c r="I70" s="1933">
        <v>1596764</v>
      </c>
      <c r="J70" s="1917"/>
      <c r="K70" s="1917"/>
      <c r="L70" s="1918"/>
      <c r="M70" s="1229">
        <v>942700</v>
      </c>
      <c r="N70" s="869">
        <v>943611.1</v>
      </c>
      <c r="O70" s="869">
        <v>808400</v>
      </c>
      <c r="P70" s="869">
        <v>781535.15</v>
      </c>
      <c r="Q70" s="721">
        <f t="array" ref="Q70">IF(D70&lt;&gt;0,SUM(($I70:$P70)*($I$12:$P$12=Q$12))/D70*100,нет)</f>
        <v>266.12733333333335</v>
      </c>
      <c r="R70" s="721">
        <f t="array" ref="R70">SUM(($I70:$P70)*($I$12:$P$12=R$12)*($I$11:$P$11))</f>
        <v>1596764</v>
      </c>
      <c r="S70" s="721">
        <f t="array" ref="S70">SUM(($I70:$P70)*($I$12:$P$12=S$12)*($I$11:$P$11))</f>
        <v>1886311.1</v>
      </c>
    </row>
    <row r="71" spans="1:39" x14ac:dyDescent="0.2">
      <c r="A71" s="551" t="str">
        <f>IF(LEN(КАФЕДРА!A71)&gt;2,КАФЕДРА!A71,"")</f>
        <v>Психиатрии, медицинской психологии и наркологии с курсом ДПО</v>
      </c>
      <c r="B71" s="800" t="str">
        <f>КАФЕДРА!$D71</f>
        <v>КПСИХОЛОГИИ</v>
      </c>
      <c r="C71" s="960">
        <f>IF(LEN(КАФЕДРА!$A71)&gt;2,КАФЕДРА!C71,0)</f>
        <v>0</v>
      </c>
      <c r="D71" s="867">
        <f t="shared" si="1"/>
        <v>170000</v>
      </c>
      <c r="E71" s="1929">
        <v>170000</v>
      </c>
      <c r="F71" s="1903"/>
      <c r="G71" s="1903"/>
      <c r="H71" s="1916"/>
      <c r="I71" s="1933">
        <v>439313</v>
      </c>
      <c r="J71" s="1917"/>
      <c r="K71" s="1917"/>
      <c r="L71" s="1925"/>
      <c r="M71" s="1229">
        <v>81800</v>
      </c>
      <c r="N71" s="869">
        <v>90200</v>
      </c>
      <c r="O71" s="869">
        <v>98000</v>
      </c>
      <c r="P71" s="869">
        <v>356700</v>
      </c>
      <c r="Q71" s="721">
        <f t="array" ref="Q71">IF(D71&lt;&gt;0,SUM(($I71:$P71)*($I$12:$P$12=Q$12))/D71*100,нет)</f>
        <v>258.4194117647059</v>
      </c>
      <c r="R71" s="721">
        <f t="array" ref="R71">SUM(($I71:$P71)*($I$12:$P$12=R$12)*($I$11:$P$11))</f>
        <v>439313</v>
      </c>
      <c r="S71" s="721">
        <f t="array" ref="S71">SUM(($I71:$P71)*($I$12:$P$12=S$12)*($I$11:$P$11))</f>
        <v>172000</v>
      </c>
    </row>
    <row r="72" spans="1:39" x14ac:dyDescent="0.2">
      <c r="A72" s="551" t="str">
        <f>IF(LEN(КАФЕДРА!A72)&gt;2,КАФЕДРА!A72,"")</f>
        <v>Философии</v>
      </c>
      <c r="B72" s="800" t="str">
        <f>КАФЕДРА!$D72</f>
        <v>КПСИХОЛОГИИ</v>
      </c>
      <c r="C72" s="960">
        <f>IF(LEN(КАФЕДРА!$A72)&gt;2,КАФЕДРА!C72,0)</f>
        <v>0</v>
      </c>
      <c r="D72" s="867">
        <f>SUM(E72:H72)</f>
        <v>0</v>
      </c>
      <c r="E72" s="1929"/>
      <c r="F72" s="1903"/>
      <c r="G72" s="1903"/>
      <c r="H72" s="1916"/>
      <c r="I72" s="1933"/>
      <c r="J72" s="1917"/>
      <c r="K72" s="1917"/>
      <c r="L72" s="1918"/>
      <c r="M72" s="1229"/>
      <c r="N72" s="869"/>
      <c r="O72" s="869"/>
      <c r="P72" s="869"/>
      <c r="Q72" s="958" t="str">
        <f t="array" ref="Q72">IF(D72&lt;&gt;0,SUM(($I72:$P72)*($I$12:$P$12=Q$12))/D72*100,нет)</f>
        <v>нет</v>
      </c>
      <c r="R72" s="958">
        <f t="array" ref="R72">SUM(($I72:$P72)*($I$12:$P$12=R$12)*($I$11:$P$11))</f>
        <v>0</v>
      </c>
      <c r="S72" s="958">
        <f t="array" ref="S72">SUM(($I72:$P72)*($I$12:$P$12=S$12)*($I$11:$P$11))</f>
        <v>0</v>
      </c>
    </row>
    <row r="73" spans="1:39" s="767" customFormat="1" ht="15" thickBot="1" x14ac:dyDescent="0.25">
      <c r="A73" s="587" t="str">
        <f>IF(LEN(КАФЕДРА!A73)&gt;2,КАФЕДРА!A73,"")</f>
        <v>Истории</v>
      </c>
      <c r="B73" s="878" t="str">
        <f>КАФЕДРА!$D73</f>
        <v>КПСИХОЛОГИИ</v>
      </c>
      <c r="C73" s="882">
        <f>IF(LEN(КАФЕДРА!$A73)&gt;2,КАФЕДРА!C73,0)</f>
        <v>0</v>
      </c>
      <c r="D73" s="775">
        <f>SUM(E73:H73)</f>
        <v>0</v>
      </c>
      <c r="E73" s="1931"/>
      <c r="F73" s="1899"/>
      <c r="G73" s="1899"/>
      <c r="H73" s="1231"/>
      <c r="I73" s="1232"/>
      <c r="J73" s="1512"/>
      <c r="K73" s="1512"/>
      <c r="L73" s="1513"/>
      <c r="M73" s="1233"/>
      <c r="N73" s="1232"/>
      <c r="O73" s="1232"/>
      <c r="P73" s="1232"/>
      <c r="Q73" s="881" t="str">
        <f t="array" ref="Q73">IF(D73&lt;&gt;0,SUM(($I73:$P73)*($I$12:$P$12=Q$12))/D73*100,нет)</f>
        <v>нет</v>
      </c>
      <c r="R73" s="881">
        <f t="array" ref="R73">SUM(($I73:$P73)*($I$12:$P$12=R$12)*($I$11:$P$11))</f>
        <v>0</v>
      </c>
      <c r="S73" s="881">
        <f t="array" ref="S73">SUM(($I73:$P73)*($I$12:$P$12=S$12)*($I$11:$P$11))</f>
        <v>0</v>
      </c>
    </row>
    <row r="74" spans="1:39" x14ac:dyDescent="0.2">
      <c r="A74" s="582" t="str">
        <f>IF(LEN(КАФЕДРА!A74)&gt;2,КАФЕДРА!A74,"")</f>
        <v>Иностранных языков с курсом латинского языка</v>
      </c>
      <c r="B74" s="795" t="str">
        <f>КАФЕДРА!$D74</f>
        <v>ФИС</v>
      </c>
      <c r="C74" s="369">
        <f>IF(LEN(КАФЕДРА!$A74)&gt;2,КАФЕДРА!C74,0)</f>
        <v>0</v>
      </c>
      <c r="D74" s="770">
        <f t="shared" si="1"/>
        <v>0</v>
      </c>
      <c r="E74" s="1929"/>
      <c r="F74" s="1903"/>
      <c r="G74" s="1903"/>
      <c r="H74" s="1922"/>
      <c r="I74" s="1933"/>
      <c r="J74" s="1917"/>
      <c r="K74" s="1917"/>
      <c r="L74" s="1511"/>
      <c r="M74" s="1229"/>
      <c r="N74" s="869"/>
      <c r="O74" s="869"/>
      <c r="P74" s="869"/>
      <c r="Q74" s="721" t="str">
        <f t="array" ref="Q74">IF(D74&lt;&gt;0,SUM(($I74:$P74)*($I$12:$P$12=Q$12))/D74*100,нет)</f>
        <v>нет</v>
      </c>
      <c r="R74" s="721">
        <f t="array" ref="R74">SUM(($I74:$P74)*($I$12:$P$12=R$12)*($I$11:$P$11))</f>
        <v>0</v>
      </c>
      <c r="S74" s="721">
        <f t="array" ref="S74">SUM(($I74:$P74)*($I$12:$P$12=S$12)*($I$11:$P$11))</f>
        <v>0</v>
      </c>
    </row>
    <row r="75" spans="1:39" ht="15" thickBot="1" x14ac:dyDescent="0.25">
      <c r="A75" s="578" t="str">
        <f>IF(LEN(КАФЕДРА!A75)&gt;2,КАФЕДРА!A75,"")</f>
        <v>Русского языка как иностранного</v>
      </c>
      <c r="B75" s="1453" t="str">
        <f>КАФЕДРА!$D75</f>
        <v>ФИС</v>
      </c>
      <c r="C75" s="373">
        <f>IF(LEN(КАФЕДРА!$A75)&gt;2,КАФЕДРА!C75,0)</f>
        <v>0</v>
      </c>
      <c r="D75" s="771">
        <f t="shared" si="1"/>
        <v>0</v>
      </c>
      <c r="E75" s="1930"/>
      <c r="F75" s="1904"/>
      <c r="G75" s="1904"/>
      <c r="H75" s="1920"/>
      <c r="I75" s="1934"/>
      <c r="J75" s="1921"/>
      <c r="K75" s="1921"/>
      <c r="L75" s="1510"/>
      <c r="M75" s="1230"/>
      <c r="N75" s="778"/>
      <c r="O75" s="778"/>
      <c r="P75" s="778"/>
      <c r="Q75" s="881" t="str">
        <f t="array" ref="Q75">IF(D75&lt;&gt;0,SUM(($I75:$P75)*($I$12:$P$12=Q$12))/D75*100,нет)</f>
        <v>нет</v>
      </c>
      <c r="R75" s="881">
        <f t="array" ref="R75">SUM(($I75:$P75)*($I$12:$P$12=R$12)*($I$11:$P$11))</f>
        <v>0</v>
      </c>
      <c r="S75" s="881">
        <f t="array" ref="S75">SUM(($I75:$P75)*($I$12:$P$12=S$12)*($I$11:$P$11))</f>
        <v>0</v>
      </c>
      <c r="T75" s="285"/>
      <c r="U75" s="285"/>
      <c r="V75" s="285"/>
      <c r="W75" s="285"/>
      <c r="X75" s="285"/>
      <c r="Y75" s="285"/>
      <c r="Z75" s="285"/>
      <c r="AA75" s="285"/>
      <c r="AB75" s="285"/>
      <c r="AC75" s="285"/>
      <c r="AD75" s="285"/>
      <c r="AE75" s="285"/>
      <c r="AF75" s="285"/>
      <c r="AG75" s="285"/>
      <c r="AH75" s="285"/>
      <c r="AI75" s="285"/>
      <c r="AJ75" s="285"/>
      <c r="AK75" s="285"/>
    </row>
    <row r="76" spans="1:39" x14ac:dyDescent="0.2">
      <c r="A76" s="1216" t="s">
        <v>499</v>
      </c>
      <c r="B76" s="1541" t="str">
        <f>КАФЕДРА!$D76</f>
        <v>ОиДПО</v>
      </c>
      <c r="C76" s="369">
        <f>IF(LEN(КАФЕДРА!$A77)&gt;2,КАФЕДРА!C76,0)</f>
        <v>0</v>
      </c>
      <c r="D76" s="977">
        <f t="shared" ref="D76:D77" si="2">SUM(E76:H76)</f>
        <v>0</v>
      </c>
      <c r="E76" s="1932">
        <v>0</v>
      </c>
      <c r="F76" s="1905"/>
      <c r="G76" s="1905"/>
      <c r="H76" s="1922"/>
      <c r="I76" s="1935">
        <v>0</v>
      </c>
      <c r="J76" s="1902"/>
      <c r="K76" s="1902"/>
      <c r="L76" s="1511"/>
      <c r="M76" s="1235"/>
      <c r="N76" s="978"/>
      <c r="O76" s="978"/>
      <c r="P76" s="978"/>
      <c r="Q76" s="979" t="str">
        <f t="array" ref="Q76">IF(D76&lt;&gt;0,SUM(($I76:$P76)*($I$12:$P$12=Q$12))/D76*100,нет)</f>
        <v>нет</v>
      </c>
      <c r="R76" s="979">
        <f t="array" ref="R76">SUM(($I76:$P76)*($I$12:$P$12=R$12)*($I$11:$P$11))</f>
        <v>0</v>
      </c>
      <c r="S76" s="979">
        <f t="array" ref="S76">SUM(($I76:$P76)*($I$12:$P$12=S$12)*($I$11:$P$11))</f>
        <v>0</v>
      </c>
      <c r="AM76" s="182" t="s">
        <v>510</v>
      </c>
    </row>
    <row r="77" spans="1:39" x14ac:dyDescent="0.2">
      <c r="A77" s="1198" t="s">
        <v>500</v>
      </c>
      <c r="B77" s="1472" t="str">
        <f>КАФЕДРА!$D77</f>
        <v>ОиДПО</v>
      </c>
      <c r="C77" s="960">
        <f>IF(LEN(КАФЕДРА!$A78)&gt;2,КАФЕДРА!C77,0)</f>
        <v>0</v>
      </c>
      <c r="D77" s="867">
        <f t="shared" si="2"/>
        <v>50000</v>
      </c>
      <c r="E77" s="1929">
        <v>50000</v>
      </c>
      <c r="F77" s="1903"/>
      <c r="G77" s="1903"/>
      <c r="H77" s="1916"/>
      <c r="I77" s="1933">
        <v>85140</v>
      </c>
      <c r="J77" s="1901"/>
      <c r="K77" s="1901"/>
      <c r="L77" s="1918"/>
      <c r="M77" s="1229">
        <v>89400</v>
      </c>
      <c r="N77" s="869">
        <v>29700</v>
      </c>
      <c r="O77" s="869">
        <v>93400</v>
      </c>
      <c r="P77" s="869">
        <v>12000</v>
      </c>
      <c r="Q77" s="721">
        <f t="array" ref="Q77">IF(D77&lt;&gt;0,SUM(($I77:$P77)*($I$12:$P$12=Q$12))/D77*100,нет)</f>
        <v>170.28</v>
      </c>
      <c r="R77" s="721">
        <f t="array" ref="R77">SUM(($I77:$P77)*($I$12:$P$12=R$12)*($I$11:$P$11))</f>
        <v>85140</v>
      </c>
      <c r="S77" s="721">
        <f t="array" ref="S77">SUM(($I77:$P77)*($I$12:$P$12=S$12)*($I$11:$P$11))</f>
        <v>119100</v>
      </c>
      <c r="AM77" s="182" t="s">
        <v>510</v>
      </c>
    </row>
    <row r="78" spans="1:39" x14ac:dyDescent="0.2">
      <c r="E78" s="1900"/>
      <c r="F78" s="1900"/>
      <c r="G78" s="1900"/>
      <c r="H78" s="1900"/>
      <c r="I78" s="1900"/>
      <c r="J78" s="1900"/>
      <c r="K78" s="1900"/>
      <c r="L78" s="1900"/>
    </row>
    <row r="79" spans="1:39" ht="15" x14ac:dyDescent="0.2">
      <c r="A79" s="1936" t="s">
        <v>505</v>
      </c>
      <c r="B79" s="1937"/>
      <c r="C79" s="1937"/>
      <c r="D79" s="1937"/>
      <c r="E79" s="1938">
        <v>650000</v>
      </c>
      <c r="F79" s="1903"/>
      <c r="G79" s="1903"/>
      <c r="H79" s="1903"/>
      <c r="I79" s="1938">
        <v>341223</v>
      </c>
      <c r="J79" s="1901"/>
      <c r="K79" s="1901"/>
      <c r="L79" s="1901"/>
      <c r="M79" s="372"/>
    </row>
    <row r="80" spans="1:39" ht="15" x14ac:dyDescent="0.2">
      <c r="A80" s="1937" t="s">
        <v>688</v>
      </c>
      <c r="B80" s="1937"/>
      <c r="C80" s="1937"/>
      <c r="D80" s="1937"/>
      <c r="E80" s="1938">
        <v>20000</v>
      </c>
      <c r="F80" s="1903"/>
      <c r="G80" s="1903"/>
      <c r="H80" s="1903"/>
      <c r="I80" s="1938">
        <v>104640</v>
      </c>
      <c r="J80" s="1901"/>
      <c r="K80" s="1901"/>
      <c r="L80" s="1901"/>
      <c r="M80" s="372"/>
    </row>
    <row r="81" spans="1:13" ht="15" x14ac:dyDescent="0.2">
      <c r="A81" s="345"/>
      <c r="B81" s="345"/>
      <c r="C81" s="345"/>
      <c r="D81" s="345"/>
      <c r="E81" s="345"/>
      <c r="F81" s="345"/>
      <c r="G81" s="345"/>
      <c r="H81" s="345"/>
      <c r="I81" s="345"/>
      <c r="J81" s="345"/>
      <c r="K81" s="345"/>
      <c r="L81" s="1540"/>
      <c r="M81" s="372"/>
    </row>
  </sheetData>
  <mergeCells count="5">
    <mergeCell ref="R9:S9"/>
    <mergeCell ref="D8:H9"/>
    <mergeCell ref="I8:P8"/>
    <mergeCell ref="I9:L9"/>
    <mergeCell ref="M9:P9"/>
  </mergeCells>
  <conditionalFormatting sqref="M20:P36 M52:P52 M61:P64 M68:P68 M46:P47">
    <cfRule type="cellIs" dxfId="202" priority="384" operator="equal">
      <formula>0</formula>
    </cfRule>
  </conditionalFormatting>
  <conditionalFormatting sqref="M26:P26">
    <cfRule type="cellIs" dxfId="201" priority="381" operator="equal">
      <formula>0</formula>
    </cfRule>
  </conditionalFormatting>
  <conditionalFormatting sqref="M28:N28 P28">
    <cfRule type="cellIs" dxfId="200" priority="379" operator="equal">
      <formula>0</formula>
    </cfRule>
  </conditionalFormatting>
  <conditionalFormatting sqref="M32:P32">
    <cfRule type="cellIs" dxfId="199" priority="377" operator="equal">
      <formula>0</formula>
    </cfRule>
  </conditionalFormatting>
  <conditionalFormatting sqref="M33:P33">
    <cfRule type="cellIs" dxfId="198" priority="375" operator="equal">
      <formula>0</formula>
    </cfRule>
  </conditionalFormatting>
  <conditionalFormatting sqref="M72:P73">
    <cfRule type="cellIs" dxfId="197" priority="369" operator="equal">
      <formula>0</formula>
    </cfRule>
  </conditionalFormatting>
  <conditionalFormatting sqref="O28">
    <cfRule type="cellIs" dxfId="196" priority="367" operator="equal">
      <formula>0</formula>
    </cfRule>
  </conditionalFormatting>
  <conditionalFormatting sqref="M37:P45">
    <cfRule type="cellIs" dxfId="195" priority="316" operator="equal">
      <formula>0</formula>
    </cfRule>
  </conditionalFormatting>
  <conditionalFormatting sqref="M43:P43">
    <cfRule type="cellIs" dxfId="194" priority="314" operator="equal">
      <formula>0</formula>
    </cfRule>
  </conditionalFormatting>
  <conditionalFormatting sqref="M45:N45 P45">
    <cfRule type="cellIs" dxfId="193" priority="312" operator="equal">
      <formula>0</formula>
    </cfRule>
  </conditionalFormatting>
  <conditionalFormatting sqref="O45">
    <cfRule type="cellIs" dxfId="192" priority="310" operator="equal">
      <formula>0</formula>
    </cfRule>
  </conditionalFormatting>
  <conditionalFormatting sqref="M48:P51">
    <cfRule type="cellIs" dxfId="191" priority="308" operator="equal">
      <formula>0</formula>
    </cfRule>
  </conditionalFormatting>
  <conditionalFormatting sqref="M53:P60">
    <cfRule type="cellIs" dxfId="190" priority="306" operator="equal">
      <formula>0</formula>
    </cfRule>
  </conditionalFormatting>
  <conditionalFormatting sqref="M65:P67">
    <cfRule type="cellIs" dxfId="189" priority="304" operator="equal">
      <formula>0</formula>
    </cfRule>
  </conditionalFormatting>
  <conditionalFormatting sqref="M69:P71">
    <cfRule type="cellIs" dxfId="188" priority="302" operator="equal">
      <formula>0</formula>
    </cfRule>
  </conditionalFormatting>
  <conditionalFormatting sqref="M74:P75">
    <cfRule type="cellIs" dxfId="187" priority="300" operator="equal">
      <formula>0</formula>
    </cfRule>
  </conditionalFormatting>
  <conditionalFormatting sqref="M72:P73">
    <cfRule type="cellIs" dxfId="186" priority="299" operator="equal">
      <formula>0</formula>
    </cfRule>
  </conditionalFormatting>
  <conditionalFormatting sqref="M76:P77">
    <cfRule type="cellIs" dxfId="185" priority="234" operator="equal">
      <formula>0</formula>
    </cfRule>
  </conditionalFormatting>
  <conditionalFormatting sqref="E20:E36 E52 E61:E64 E68 E46:E47">
    <cfRule type="cellIs" dxfId="184" priority="49" operator="equal">
      <formula>0</formula>
    </cfRule>
  </conditionalFormatting>
  <conditionalFormatting sqref="E26">
    <cfRule type="cellIs" dxfId="183" priority="48" operator="equal">
      <formula>0</formula>
    </cfRule>
  </conditionalFormatting>
  <conditionalFormatting sqref="E28">
    <cfRule type="cellIs" dxfId="182" priority="47" operator="equal">
      <formula>0</formula>
    </cfRule>
  </conditionalFormatting>
  <conditionalFormatting sqref="E32">
    <cfRule type="cellIs" dxfId="181" priority="46" operator="equal">
      <formula>0</formula>
    </cfRule>
  </conditionalFormatting>
  <conditionalFormatting sqref="E33">
    <cfRule type="cellIs" dxfId="180" priority="45" operator="equal">
      <formula>0</formula>
    </cfRule>
  </conditionalFormatting>
  <conditionalFormatting sqref="E72:E73">
    <cfRule type="cellIs" dxfId="179" priority="44" operator="equal">
      <formula>0</formula>
    </cfRule>
  </conditionalFormatting>
  <conditionalFormatting sqref="E37:E45">
    <cfRule type="cellIs" dxfId="178" priority="43" operator="equal">
      <formula>0</formula>
    </cfRule>
  </conditionalFormatting>
  <conditionalFormatting sqref="E43">
    <cfRule type="cellIs" dxfId="177" priority="42" operator="equal">
      <formula>0</formula>
    </cfRule>
  </conditionalFormatting>
  <conditionalFormatting sqref="E45">
    <cfRule type="cellIs" dxfId="176" priority="41" operator="equal">
      <formula>0</formula>
    </cfRule>
  </conditionalFormatting>
  <conditionalFormatting sqref="E48:E51">
    <cfRule type="cellIs" dxfId="175" priority="40" operator="equal">
      <formula>0</formula>
    </cfRule>
  </conditionalFormatting>
  <conditionalFormatting sqref="E53:E60">
    <cfRule type="cellIs" dxfId="174" priority="39" operator="equal">
      <formula>0</formula>
    </cfRule>
  </conditionalFormatting>
  <conditionalFormatting sqref="E65:E67">
    <cfRule type="cellIs" dxfId="173" priority="38" operator="equal">
      <formula>0</formula>
    </cfRule>
  </conditionalFormatting>
  <conditionalFormatting sqref="E69:E71">
    <cfRule type="cellIs" dxfId="172" priority="37" operator="equal">
      <formula>0</formula>
    </cfRule>
  </conditionalFormatting>
  <conditionalFormatting sqref="E74:E75">
    <cfRule type="cellIs" dxfId="171" priority="36" operator="equal">
      <formula>0</formula>
    </cfRule>
  </conditionalFormatting>
  <conditionalFormatting sqref="E72:E73">
    <cfRule type="cellIs" dxfId="170" priority="35" operator="equal">
      <formula>0</formula>
    </cfRule>
  </conditionalFormatting>
  <conditionalFormatting sqref="E76:E77">
    <cfRule type="cellIs" dxfId="169" priority="34" operator="equal">
      <formula>0</formula>
    </cfRule>
  </conditionalFormatting>
  <conditionalFormatting sqref="F20:F36 F52 F61:F64 F68 F46:F47">
    <cfRule type="cellIs" dxfId="168" priority="33" operator="equal">
      <formula>0</formula>
    </cfRule>
  </conditionalFormatting>
  <conditionalFormatting sqref="F26">
    <cfRule type="cellIs" dxfId="167" priority="32" operator="equal">
      <formula>0</formula>
    </cfRule>
  </conditionalFormatting>
  <conditionalFormatting sqref="F28">
    <cfRule type="cellIs" dxfId="166" priority="31" operator="equal">
      <formula>0</formula>
    </cfRule>
  </conditionalFormatting>
  <conditionalFormatting sqref="F32">
    <cfRule type="cellIs" dxfId="165" priority="30" operator="equal">
      <formula>0</formula>
    </cfRule>
  </conditionalFormatting>
  <conditionalFormatting sqref="F33">
    <cfRule type="cellIs" dxfId="164" priority="29" operator="equal">
      <formula>0</formula>
    </cfRule>
  </conditionalFormatting>
  <conditionalFormatting sqref="F72:F73">
    <cfRule type="cellIs" dxfId="163" priority="28" operator="equal">
      <formula>0</formula>
    </cfRule>
  </conditionalFormatting>
  <conditionalFormatting sqref="F37:F45">
    <cfRule type="cellIs" dxfId="162" priority="27" operator="equal">
      <formula>0</formula>
    </cfRule>
  </conditionalFormatting>
  <conditionalFormatting sqref="F43">
    <cfRule type="cellIs" dxfId="161" priority="26" operator="equal">
      <formula>0</formula>
    </cfRule>
  </conditionalFormatting>
  <conditionalFormatting sqref="F45">
    <cfRule type="cellIs" dxfId="160" priority="25" operator="equal">
      <formula>0</formula>
    </cfRule>
  </conditionalFormatting>
  <conditionalFormatting sqref="F48:F51">
    <cfRule type="cellIs" dxfId="159" priority="24" operator="equal">
      <formula>0</formula>
    </cfRule>
  </conditionalFormatting>
  <conditionalFormatting sqref="F53:F60">
    <cfRule type="cellIs" dxfId="158" priority="23" operator="equal">
      <formula>0</formula>
    </cfRule>
  </conditionalFormatting>
  <conditionalFormatting sqref="F65:F67">
    <cfRule type="cellIs" dxfId="157" priority="22" operator="equal">
      <formula>0</formula>
    </cfRule>
  </conditionalFormatting>
  <conditionalFormatting sqref="F69:F71">
    <cfRule type="cellIs" dxfId="156" priority="21" operator="equal">
      <formula>0</formula>
    </cfRule>
  </conditionalFormatting>
  <conditionalFormatting sqref="F74:F75">
    <cfRule type="cellIs" dxfId="155" priority="20" operator="equal">
      <formula>0</formula>
    </cfRule>
  </conditionalFormatting>
  <conditionalFormatting sqref="F72:F73">
    <cfRule type="cellIs" dxfId="154" priority="19" operator="equal">
      <formula>0</formula>
    </cfRule>
  </conditionalFormatting>
  <conditionalFormatting sqref="F76:F77">
    <cfRule type="cellIs" dxfId="153" priority="18" operator="equal">
      <formula>0</formula>
    </cfRule>
  </conditionalFormatting>
  <conditionalFormatting sqref="G20:G36 G52 G61:G64 G68 G46:G47">
    <cfRule type="cellIs" dxfId="152" priority="17" operator="equal">
      <formula>0</formula>
    </cfRule>
  </conditionalFormatting>
  <conditionalFormatting sqref="G26">
    <cfRule type="cellIs" dxfId="151" priority="16" operator="equal">
      <formula>0</formula>
    </cfRule>
  </conditionalFormatting>
  <conditionalFormatting sqref="G28">
    <cfRule type="cellIs" dxfId="150" priority="15" operator="equal">
      <formula>0</formula>
    </cfRule>
  </conditionalFormatting>
  <conditionalFormatting sqref="G32">
    <cfRule type="cellIs" dxfId="149" priority="14" operator="equal">
      <formula>0</formula>
    </cfRule>
  </conditionalFormatting>
  <conditionalFormatting sqref="G33">
    <cfRule type="cellIs" dxfId="148" priority="13" operator="equal">
      <formula>0</formula>
    </cfRule>
  </conditionalFormatting>
  <conditionalFormatting sqref="G72:G73">
    <cfRule type="cellIs" dxfId="147" priority="12" operator="equal">
      <formula>0</formula>
    </cfRule>
  </conditionalFormatting>
  <conditionalFormatting sqref="G37:G45">
    <cfRule type="cellIs" dxfId="146" priority="11" operator="equal">
      <formula>0</formula>
    </cfRule>
  </conditionalFormatting>
  <conditionalFormatting sqref="G43">
    <cfRule type="cellIs" dxfId="145" priority="10" operator="equal">
      <formula>0</formula>
    </cfRule>
  </conditionalFormatting>
  <conditionalFormatting sqref="G45">
    <cfRule type="cellIs" dxfId="144" priority="9" operator="equal">
      <formula>0</formula>
    </cfRule>
  </conditionalFormatting>
  <conditionalFormatting sqref="G48:G51">
    <cfRule type="cellIs" dxfId="143" priority="8" operator="equal">
      <formula>0</formula>
    </cfRule>
  </conditionalFormatting>
  <conditionalFormatting sqref="G53:G60">
    <cfRule type="cellIs" dxfId="142" priority="7" operator="equal">
      <formula>0</formula>
    </cfRule>
  </conditionalFormatting>
  <conditionalFormatting sqref="G65:G67">
    <cfRule type="cellIs" dxfId="141" priority="6" operator="equal">
      <formula>0</formula>
    </cfRule>
  </conditionalFormatting>
  <conditionalFormatting sqref="G69:G71">
    <cfRule type="cellIs" dxfId="140" priority="5" operator="equal">
      <formula>0</formula>
    </cfRule>
  </conditionalFormatting>
  <conditionalFormatting sqref="G74:G75">
    <cfRule type="cellIs" dxfId="139" priority="4" operator="equal">
      <formula>0</formula>
    </cfRule>
  </conditionalFormatting>
  <conditionalFormatting sqref="G72:G73">
    <cfRule type="cellIs" dxfId="138" priority="3" operator="equal">
      <formula>0</formula>
    </cfRule>
  </conditionalFormatting>
  <conditionalFormatting sqref="G76:G77">
    <cfRule type="cellIs" dxfId="137" priority="2" operator="equal">
      <formula>0</formula>
    </cfRule>
  </conditionalFormatting>
  <conditionalFormatting sqref="F79:H80">
    <cfRule type="cellIs" dxfId="136" priority="1" operator="equal">
      <formula>0</formula>
    </cfRule>
  </conditionalFormatting>
  <hyperlinks>
    <hyperlink ref="A6" location="КАФЕДРА!R21C132" display="← на общую страницу"/>
    <hyperlink ref="I5" location="КАФЕДРА!R21C132" display="← на общую страницу"/>
  </hyperlinks>
  <pageMargins left="0.23622047244094491" right="0.23622047244094491" top="0.15748031496062992" bottom="0.15748031496062992" header="0.11811023622047245" footer="0.11811023622047245"/>
  <pageSetup paperSize="9" scale="80" fitToHeight="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6">
    <tabColor theme="6"/>
  </sheetPr>
  <dimension ref="A1:AM78"/>
  <sheetViews>
    <sheetView zoomScale="90" zoomScaleNormal="90" workbookViewId="0">
      <pane xSplit="3" ySplit="18" topLeftCell="D19" activePane="bottomRight" state="frozen"/>
      <selection activeCell="AL19" sqref="AL19"/>
      <selection pane="topRight" activeCell="AL19" sqref="AL19"/>
      <selection pane="bottomLeft" activeCell="AL19" sqref="AL19"/>
      <selection pane="bottomRight" activeCell="Q1" sqref="Q1:S1048576"/>
    </sheetView>
  </sheetViews>
  <sheetFormatPr defaultColWidth="9.140625" defaultRowHeight="14.25" x14ac:dyDescent="0.2"/>
  <cols>
    <col min="1" max="1" width="50.7109375" style="182" customWidth="1"/>
    <col min="2" max="2" width="16.7109375" style="182" customWidth="1"/>
    <col min="3" max="3" width="9" style="182" customWidth="1"/>
    <col min="4" max="16" width="13.7109375" style="182" customWidth="1"/>
    <col min="17" max="18" width="13.7109375" style="182" hidden="1" customWidth="1"/>
    <col min="19" max="19" width="15" style="182" hidden="1" customWidth="1"/>
    <col min="20" max="23" width="9.140625" style="182" customWidth="1"/>
    <col min="24" max="16384" width="9.140625" style="182"/>
  </cols>
  <sheetData>
    <row r="1" spans="1:19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182" t="s">
        <v>580</v>
      </c>
      <c r="E1" s="182" t="s">
        <v>581</v>
      </c>
      <c r="F1" s="182" t="s">
        <v>582</v>
      </c>
      <c r="G1" s="182" t="s">
        <v>583</v>
      </c>
      <c r="H1" s="182" t="s">
        <v>584</v>
      </c>
      <c r="I1" s="182" t="s">
        <v>581</v>
      </c>
      <c r="J1" s="182" t="s">
        <v>582</v>
      </c>
      <c r="K1" s="182" t="s">
        <v>583</v>
      </c>
      <c r="L1" s="182" t="s">
        <v>584</v>
      </c>
      <c r="M1" s="182" t="s">
        <v>585</v>
      </c>
      <c r="N1" s="182" t="s">
        <v>586</v>
      </c>
      <c r="O1" s="182" t="s">
        <v>587</v>
      </c>
      <c r="P1" s="182" t="s">
        <v>588</v>
      </c>
      <c r="Q1" s="181"/>
    </row>
    <row r="2" spans="1:19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  <c r="I2" s="182">
        <v>1</v>
      </c>
      <c r="J2" s="182">
        <v>2</v>
      </c>
      <c r="K2" s="182">
        <v>3</v>
      </c>
      <c r="L2" s="182">
        <v>4</v>
      </c>
    </row>
    <row r="3" spans="1:19" hidden="1" x14ac:dyDescent="0.2"/>
    <row r="4" spans="1:19" s="293" customFormat="1" x14ac:dyDescent="0.2"/>
    <row r="5" spans="1:19" ht="22.5" x14ac:dyDescent="0.3">
      <c r="A5" s="209" t="s">
        <v>279</v>
      </c>
      <c r="I5" s="183" t="s">
        <v>76</v>
      </c>
      <c r="M5" s="183"/>
    </row>
    <row r="6" spans="1:19" ht="17.25" customHeight="1" x14ac:dyDescent="0.35">
      <c r="A6" s="183" t="s">
        <v>76</v>
      </c>
      <c r="I6" s="415" t="s">
        <v>299</v>
      </c>
    </row>
    <row r="7" spans="1:19" ht="18" x14ac:dyDescent="0.25">
      <c r="A7" s="477" t="s">
        <v>242</v>
      </c>
      <c r="I7" s="185" t="s">
        <v>266</v>
      </c>
    </row>
    <row r="8" spans="1:19" ht="15" customHeight="1" x14ac:dyDescent="0.25">
      <c r="A8" s="444">
        <f ca="1">NOW()</f>
        <v>45929.466219097223</v>
      </c>
      <c r="D8" s="2294" t="s">
        <v>264</v>
      </c>
      <c r="E8" s="2295"/>
      <c r="F8" s="2295"/>
      <c r="G8" s="2295"/>
      <c r="H8" s="2295"/>
      <c r="I8" s="2287" t="s">
        <v>280</v>
      </c>
      <c r="J8" s="2287"/>
      <c r="K8" s="2287"/>
      <c r="L8" s="2287"/>
      <c r="M8" s="2287"/>
      <c r="N8" s="2287"/>
      <c r="O8" s="2287"/>
      <c r="P8" s="2287"/>
    </row>
    <row r="9" spans="1:19" s="267" customFormat="1" ht="80.099999999999994" customHeight="1" x14ac:dyDescent="0.25">
      <c r="A9" s="438" t="str">
        <f>ТИТУЛ!$B$22&amp;" квартал "&amp;ТИТУЛ!$D$22&amp;" года"</f>
        <v>2 квартал 2024 года</v>
      </c>
      <c r="D9" s="2295"/>
      <c r="E9" s="2295"/>
      <c r="F9" s="2295"/>
      <c r="G9" s="2295"/>
      <c r="H9" s="2295"/>
      <c r="I9" s="2288" t="s">
        <v>579</v>
      </c>
      <c r="J9" s="2289"/>
      <c r="K9" s="2289"/>
      <c r="L9" s="2290"/>
      <c r="M9" s="2296" t="s">
        <v>578</v>
      </c>
      <c r="N9" s="2296"/>
      <c r="O9" s="2296"/>
      <c r="P9" s="2297"/>
      <c r="Q9" s="968" t="s">
        <v>594</v>
      </c>
      <c r="R9" s="2279" t="s">
        <v>593</v>
      </c>
      <c r="S9" s="2280"/>
    </row>
    <row r="10" spans="1:19" ht="13.5" hidden="1" customHeight="1" x14ac:dyDescent="0.2">
      <c r="A10" s="1225"/>
      <c r="B10" s="188"/>
      <c r="C10" s="188"/>
      <c r="D10" s="435"/>
      <c r="E10" s="435"/>
      <c r="F10" s="435"/>
      <c r="G10" s="435"/>
      <c r="H10" s="435"/>
      <c r="I10" s="435"/>
      <c r="J10" s="435"/>
      <c r="K10" s="435"/>
      <c r="L10" s="1236"/>
      <c r="M10" s="435"/>
      <c r="N10" s="435"/>
      <c r="O10" s="435"/>
      <c r="P10" s="435"/>
      <c r="Q10" s="767"/>
      <c r="R10" s="767"/>
      <c r="S10" s="767"/>
    </row>
    <row r="11" spans="1:19" ht="13.5" hidden="1" customHeight="1" x14ac:dyDescent="0.2">
      <c r="A11" s="1225" t="s">
        <v>208</v>
      </c>
      <c r="B11" s="188"/>
      <c r="C11" s="188"/>
      <c r="D11" s="806"/>
      <c r="E11" s="806">
        <f>I11</f>
        <v>1</v>
      </c>
      <c r="F11" s="806">
        <f>J11</f>
        <v>1</v>
      </c>
      <c r="G11" s="806">
        <f>K11</f>
        <v>0</v>
      </c>
      <c r="H11" s="806">
        <f>L11</f>
        <v>0</v>
      </c>
      <c r="I11" s="806">
        <f>IF(ТИТУЛ!$B$22&gt;=I$2,1,0)</f>
        <v>1</v>
      </c>
      <c r="J11" s="806">
        <f>IF(ТИТУЛ!$B$22&gt;=J$2,1,0)</f>
        <v>1</v>
      </c>
      <c r="K11" s="806">
        <f>IF(ТИТУЛ!$B$22&gt;=K$2,1,0)</f>
        <v>0</v>
      </c>
      <c r="L11" s="1237">
        <f>IF(ТИТУЛ!$B$22&gt;=L$2,1,0)</f>
        <v>0</v>
      </c>
      <c r="M11" s="806">
        <f>I11</f>
        <v>1</v>
      </c>
      <c r="N11" s="806">
        <f>J11</f>
        <v>1</v>
      </c>
      <c r="O11" s="806">
        <f>K11</f>
        <v>0</v>
      </c>
      <c r="P11" s="806">
        <f>L11</f>
        <v>0</v>
      </c>
      <c r="Q11" s="767"/>
      <c r="R11" s="767"/>
      <c r="S11" s="767"/>
    </row>
    <row r="12" spans="1:19" ht="15.75" hidden="1" customHeight="1" x14ac:dyDescent="0.2">
      <c r="A12" s="189"/>
      <c r="B12" s="189"/>
      <c r="C12" s="189"/>
      <c r="D12" s="189" t="s">
        <v>580</v>
      </c>
      <c r="E12" s="189" t="s">
        <v>581</v>
      </c>
      <c r="F12" s="189" t="s">
        <v>582</v>
      </c>
      <c r="G12" s="189" t="s">
        <v>583</v>
      </c>
      <c r="H12" s="189" t="s">
        <v>584</v>
      </c>
      <c r="I12" s="189" t="s">
        <v>580</v>
      </c>
      <c r="J12" s="189" t="s">
        <v>580</v>
      </c>
      <c r="K12" s="189" t="s">
        <v>580</v>
      </c>
      <c r="L12" s="189" t="s">
        <v>580</v>
      </c>
      <c r="M12" s="1226" t="s">
        <v>589</v>
      </c>
      <c r="N12" s="1226" t="s">
        <v>589</v>
      </c>
      <c r="O12" s="1226" t="s">
        <v>589</v>
      </c>
      <c r="P12" s="1226" t="s">
        <v>589</v>
      </c>
      <c r="Q12" s="189" t="s">
        <v>580</v>
      </c>
      <c r="R12" s="189" t="s">
        <v>580</v>
      </c>
      <c r="S12" s="189" t="s">
        <v>589</v>
      </c>
    </row>
    <row r="13" spans="1:19" ht="120" customHeight="1" thickBot="1" x14ac:dyDescent="0.25">
      <c r="A13" s="191" t="str">
        <f>КАФЕДРА!A10</f>
        <v>Наименование кафедры</v>
      </c>
      <c r="B13" s="1238" t="s">
        <v>327</v>
      </c>
      <c r="C13" s="1508" t="s">
        <v>32</v>
      </c>
      <c r="D13" s="1508" t="s">
        <v>694</v>
      </c>
      <c r="E13" s="563" t="s">
        <v>689</v>
      </c>
      <c r="F13" s="687" t="s">
        <v>690</v>
      </c>
      <c r="G13" s="563" t="s">
        <v>691</v>
      </c>
      <c r="H13" s="563" t="s">
        <v>692</v>
      </c>
      <c r="I13" s="563" t="s">
        <v>149</v>
      </c>
      <c r="J13" s="687" t="s">
        <v>150</v>
      </c>
      <c r="K13" s="563" t="s">
        <v>151</v>
      </c>
      <c r="L13" s="563" t="s">
        <v>152</v>
      </c>
      <c r="M13" s="563" t="s">
        <v>149</v>
      </c>
      <c r="N13" s="687" t="s">
        <v>150</v>
      </c>
      <c r="O13" s="563" t="s">
        <v>151</v>
      </c>
      <c r="P13" s="563" t="s">
        <v>152</v>
      </c>
      <c r="Q13" s="192" t="s">
        <v>590</v>
      </c>
      <c r="R13" s="192" t="s">
        <v>591</v>
      </c>
      <c r="S13" s="192" t="s">
        <v>592</v>
      </c>
    </row>
    <row r="14" spans="1:19" ht="15" hidden="1" thickBot="1" x14ac:dyDescent="0.25">
      <c r="A14" s="195"/>
      <c r="B14" s="195"/>
      <c r="C14" s="195"/>
      <c r="D14" s="195"/>
      <c r="E14" s="195"/>
      <c r="F14" s="195"/>
      <c r="G14" s="195"/>
      <c r="H14" s="195"/>
      <c r="I14" s="195"/>
      <c r="J14" s="195"/>
      <c r="K14" s="195"/>
      <c r="L14" s="768"/>
      <c r="M14" s="195"/>
      <c r="N14" s="195"/>
      <c r="O14" s="195"/>
      <c r="P14" s="195"/>
      <c r="Q14" s="767"/>
      <c r="R14" s="767"/>
      <c r="S14" s="767"/>
    </row>
    <row r="15" spans="1:19" ht="15" hidden="1" thickBot="1" x14ac:dyDescent="0.25">
      <c r="A15" s="195"/>
      <c r="B15" s="195"/>
      <c r="C15" s="195"/>
      <c r="D15" s="195"/>
      <c r="E15" s="195"/>
      <c r="F15" s="195"/>
      <c r="G15" s="195"/>
      <c r="H15" s="195"/>
      <c r="I15" s="195"/>
      <c r="J15" s="195"/>
      <c r="K15" s="195"/>
      <c r="L15" s="768"/>
      <c r="M15" s="195"/>
      <c r="N15" s="195"/>
      <c r="O15" s="195"/>
      <c r="P15" s="195"/>
      <c r="Q15" s="767"/>
      <c r="R15" s="767"/>
      <c r="S15" s="767"/>
    </row>
    <row r="16" spans="1:19" ht="15" hidden="1" thickBot="1" x14ac:dyDescent="0.25">
      <c r="A16" s="195"/>
      <c r="B16" s="195"/>
      <c r="C16" s="195"/>
      <c r="D16" s="195"/>
      <c r="E16" s="195"/>
      <c r="F16" s="195"/>
      <c r="G16" s="195"/>
      <c r="H16" s="195"/>
      <c r="I16" s="195"/>
      <c r="J16" s="195"/>
      <c r="K16" s="195"/>
      <c r="L16" s="768"/>
      <c r="M16" s="195"/>
      <c r="N16" s="195"/>
      <c r="O16" s="195"/>
      <c r="P16" s="195"/>
      <c r="Q16" s="767"/>
      <c r="R16" s="767"/>
      <c r="S16" s="767"/>
    </row>
    <row r="17" spans="1:39" ht="15" hidden="1" thickBot="1" x14ac:dyDescent="0.25">
      <c r="A17" s="195"/>
      <c r="B17" s="195"/>
      <c r="C17" s="195"/>
      <c r="D17" s="195"/>
      <c r="E17" s="195"/>
      <c r="F17" s="195"/>
      <c r="G17" s="195"/>
      <c r="H17" s="195"/>
      <c r="I17" s="195"/>
      <c r="J17" s="195"/>
      <c r="K17" s="195"/>
      <c r="L17" s="768"/>
      <c r="M17" s="195"/>
      <c r="N17" s="195"/>
      <c r="O17" s="195"/>
      <c r="P17" s="195"/>
      <c r="Q17" s="767"/>
      <c r="R17" s="767"/>
      <c r="S17" s="767"/>
    </row>
    <row r="18" spans="1:39" ht="6.75" hidden="1" customHeight="1" thickBot="1" x14ac:dyDescent="0.25">
      <c r="A18" s="197"/>
      <c r="B18" s="197"/>
      <c r="C18" s="197"/>
      <c r="D18" s="199"/>
      <c r="E18" s="199"/>
      <c r="F18" s="199"/>
      <c r="G18" s="199"/>
      <c r="H18" s="199"/>
      <c r="I18" s="197"/>
      <c r="J18" s="197"/>
      <c r="K18" s="197"/>
      <c r="L18" s="769"/>
      <c r="M18" s="197"/>
      <c r="N18" s="197"/>
      <c r="O18" s="197"/>
      <c r="P18" s="197"/>
      <c r="Q18" s="199"/>
      <c r="R18" s="199"/>
      <c r="S18" s="199"/>
    </row>
    <row r="19" spans="1:39" s="728" customFormat="1" ht="15" thickBot="1" x14ac:dyDescent="0.25">
      <c r="A19" s="1186" t="str">
        <f>КАФЕДРА!A19</f>
        <v>сумма по кафедрам (проверочная)</v>
      </c>
      <c r="B19" s="1186"/>
      <c r="C19" s="1186">
        <f>IF(LEN(КАФЕДРА!$A19)&gt;2,КАФЕДРА!C19,0)</f>
        <v>0</v>
      </c>
      <c r="D19" s="1187">
        <f>SUM(D20:D77)</f>
        <v>1553966</v>
      </c>
      <c r="E19" s="1187">
        <f>SUM(E20:E77)</f>
        <v>1553966</v>
      </c>
      <c r="F19" s="1187">
        <f>SUM(F20:F77)</f>
        <v>0</v>
      </c>
      <c r="G19" s="1187">
        <f>SUM(G20:G77)</f>
        <v>0</v>
      </c>
      <c r="H19" s="1187">
        <f>SUM(H20:H77)</f>
        <v>0</v>
      </c>
      <c r="I19" s="1187">
        <f t="shared" ref="I19:P19" si="0">SUM(I20:I77)</f>
        <v>1553966</v>
      </c>
      <c r="J19" s="1187">
        <f t="shared" si="0"/>
        <v>0</v>
      </c>
      <c r="K19" s="1187">
        <f t="shared" si="0"/>
        <v>0</v>
      </c>
      <c r="L19" s="1239">
        <f t="shared" si="0"/>
        <v>0</v>
      </c>
      <c r="M19" s="1240">
        <f t="shared" si="0"/>
        <v>1130454.74</v>
      </c>
      <c r="N19" s="1187">
        <f t="shared" si="0"/>
        <v>873603</v>
      </c>
      <c r="O19" s="1187">
        <f t="shared" si="0"/>
        <v>86000</v>
      </c>
      <c r="P19" s="1187">
        <f t="shared" si="0"/>
        <v>1438700</v>
      </c>
      <c r="Q19" s="1241">
        <f t="array" ref="Q19">IF(D19&lt;&gt;0,SUM(($I19:$P19)*($I$12:$P$12=Q$12))/D19*100,нет)</f>
        <v>100</v>
      </c>
      <c r="R19" s="1242">
        <f t="array" ref="R19">SUM(($I19:$P19)*($I$12:$P$12=R$12)*($I$11:$P$11))</f>
        <v>1553966</v>
      </c>
      <c r="S19" s="1509">
        <f t="array" ref="S19">SUM(($I19:$P19)*($I$12:$P$12=S$12)*($I$11:$P$11))</f>
        <v>2004057.74</v>
      </c>
    </row>
    <row r="20" spans="1:39" s="371" customFormat="1" x14ac:dyDescent="0.2">
      <c r="A20" s="582" t="str">
        <f>IF(LEN(КАФЕДРА!A20)&gt;2,КАФЕДРА!A20,"")</f>
        <v>Акушерства и гинекологии с курсом ДПО</v>
      </c>
      <c r="B20" s="1185" t="str">
        <f>КАФЕДРА!$D20</f>
        <v>КМЕДИЦИНЫ</v>
      </c>
      <c r="C20" s="370">
        <f>IF(LEN(КАФЕДРА!$A20)&gt;2,КАФЕДРА!C20,0)</f>
        <v>0</v>
      </c>
      <c r="D20" s="1243">
        <f>SUM(E20:H20)</f>
        <v>0</v>
      </c>
      <c r="E20" s="1244"/>
      <c r="F20" s="1817"/>
      <c r="G20" s="1817"/>
      <c r="H20" s="1818"/>
      <c r="I20" s="1244"/>
      <c r="J20" s="1825"/>
      <c r="K20" s="1825"/>
      <c r="L20" s="1826"/>
      <c r="M20" s="1244"/>
      <c r="N20" s="1178"/>
      <c r="O20" s="1178"/>
      <c r="P20" s="1178"/>
      <c r="Q20" s="1177" t="str">
        <f t="array" ref="Q20">IF(D20&lt;&gt;0,SUM(($I20:$P20)*($I$12:$P$12=Q$12))/D20*100,нет)</f>
        <v>нет</v>
      </c>
      <c r="R20" s="1177">
        <f t="array" ref="R20">SUM(($I20:$P20)*($I$12:$P$12=R$12)*($I$11:$P$11))</f>
        <v>0</v>
      </c>
      <c r="S20" s="1177">
        <f t="array" ref="S20">SUM(($I20:$P20)*($I$12:$P$12=S$12)*($I$11:$P$11))</f>
        <v>0</v>
      </c>
      <c r="AM20" s="1127"/>
    </row>
    <row r="21" spans="1:39" x14ac:dyDescent="0.2">
      <c r="A21" s="551" t="str">
        <f>IF(LEN(КАФЕДРА!A21)&gt;2,КАФЕДРА!A21,"")</f>
        <v>Анатомии</v>
      </c>
      <c r="B21" s="442" t="str">
        <f>КАФЕДРА!$D21</f>
        <v>КМЕДИЦИНЫ</v>
      </c>
      <c r="C21" s="960">
        <f>IF(LEN(КАФЕДРА!$A21)&gt;2,КАФЕДРА!C21,0)</f>
        <v>0</v>
      </c>
      <c r="D21" s="867">
        <f t="shared" ref="D21:D36" si="1">SUM(E21:H21)</f>
        <v>61200</v>
      </c>
      <c r="E21" s="1927">
        <v>61200</v>
      </c>
      <c r="F21" s="1819"/>
      <c r="G21" s="1819"/>
      <c r="H21" s="1814"/>
      <c r="I21" s="1927">
        <v>61200</v>
      </c>
      <c r="J21" s="1827"/>
      <c r="K21" s="1827"/>
      <c r="L21" s="1828"/>
      <c r="M21" s="1229">
        <v>77700</v>
      </c>
      <c r="N21" s="869">
        <v>45300</v>
      </c>
      <c r="O21" s="869"/>
      <c r="P21" s="869"/>
      <c r="Q21" s="721">
        <f t="array" ref="Q21">IF(D21&lt;&gt;0,SUM(($I21:$P21)*($I$12:$P$12=Q$12))/D21*100,нет)</f>
        <v>100</v>
      </c>
      <c r="R21" s="721">
        <f t="array" ref="R21">SUM(($I21:$P21)*($I$12:$P$12=R$12)*($I$11:$P$11))</f>
        <v>61200</v>
      </c>
      <c r="S21" s="721">
        <f t="array" ref="S21">SUM(($I21:$P21)*($I$12:$P$12=S$12)*($I$11:$P$11))</f>
        <v>123000</v>
      </c>
    </row>
    <row r="22" spans="1:39" x14ac:dyDescent="0.2">
      <c r="A22" s="551" t="str">
        <f>IF(LEN(КАФЕДРА!A22)&gt;2,КАФЕДРА!A22,"")</f>
        <v>Анестезиологии и реаниматологии с курсом ДПО</v>
      </c>
      <c r="B22" s="442" t="str">
        <f>КАФЕДРА!$D22</f>
        <v>КМЕДИЦИНЫ</v>
      </c>
      <c r="C22" s="960">
        <f>IF(LEN(КАФЕДРА!$A22)&gt;2,КАФЕДРА!C22,0)</f>
        <v>0</v>
      </c>
      <c r="D22" s="867">
        <f t="shared" si="1"/>
        <v>0</v>
      </c>
      <c r="E22" s="1927"/>
      <c r="F22" s="1819"/>
      <c r="G22" s="1819"/>
      <c r="H22" s="1814"/>
      <c r="I22" s="1927"/>
      <c r="J22" s="1827"/>
      <c r="K22" s="1827"/>
      <c r="L22" s="1828"/>
      <c r="M22" s="1229"/>
      <c r="N22" s="869">
        <v>40800</v>
      </c>
      <c r="O22" s="869">
        <v>24000</v>
      </c>
      <c r="P22" s="869"/>
      <c r="Q22" s="721" t="str">
        <f t="array" ref="Q22">IF(D22&lt;&gt;0,SUM(($I22:$P22)*($I$12:$P$12=Q$12))/D22*100,нет)</f>
        <v>нет</v>
      </c>
      <c r="R22" s="721">
        <f t="array" ref="R22">SUM(($I22:$P22)*($I$12:$P$12=R$12)*($I$11:$P$11))</f>
        <v>0</v>
      </c>
      <c r="S22" s="721">
        <f t="array" ref="S22">SUM(($I22:$P22)*($I$12:$P$12=S$12)*($I$11:$P$11))</f>
        <v>40800</v>
      </c>
    </row>
    <row r="23" spans="1:39" x14ac:dyDescent="0.2">
      <c r="A23" s="551" t="str">
        <f>IF(LEN(КАФЕДРА!A23)&gt;2,КАФЕДРА!A23,"")</f>
        <v>Госпитальной терапии и эндокринологии</v>
      </c>
      <c r="B23" s="442" t="str">
        <f>КАФЕДРА!$D23</f>
        <v>КМЕДИЦИНЫ</v>
      </c>
      <c r="C23" s="960">
        <f>IF(LEN(КАФЕДРА!$A23)&gt;2,КАФЕДРА!C23,0)</f>
        <v>0</v>
      </c>
      <c r="D23" s="867">
        <f t="shared" si="1"/>
        <v>0</v>
      </c>
      <c r="E23" s="1927"/>
      <c r="F23" s="1819"/>
      <c r="G23" s="1819"/>
      <c r="H23" s="1814"/>
      <c r="I23" s="1927"/>
      <c r="J23" s="1827"/>
      <c r="K23" s="1827"/>
      <c r="L23" s="1828"/>
      <c r="M23" s="1229"/>
      <c r="N23" s="869"/>
      <c r="O23" s="869"/>
      <c r="P23" s="869"/>
      <c r="Q23" s="721" t="str">
        <f t="array" ref="Q23">IF(D23&lt;&gt;0,SUM(($I23:$P23)*($I$12:$P$12=Q$12))/D23*100,нет)</f>
        <v>нет</v>
      </c>
      <c r="R23" s="721">
        <f t="array" ref="R23">SUM(($I23:$P23)*($I$12:$P$12=R$12)*($I$11:$P$11))</f>
        <v>0</v>
      </c>
      <c r="S23" s="721">
        <f t="array" ref="S23">SUM(($I23:$P23)*($I$12:$P$12=S$12)*($I$11:$P$11))</f>
        <v>0</v>
      </c>
    </row>
    <row r="24" spans="1:39" x14ac:dyDescent="0.2">
      <c r="A24" s="551" t="str">
        <f>IF(LEN(КАФЕДРА!A24)&gt;2,КАФЕДРА!A24,"")</f>
        <v>Госпитальной хирургии</v>
      </c>
      <c r="B24" s="442" t="str">
        <f>КАФЕДРА!$D24</f>
        <v>КМЕДИЦИНЫ</v>
      </c>
      <c r="C24" s="960">
        <f>IF(LEN(КАФЕДРА!$A24)&gt;2,КАФЕДРА!C24,0)</f>
        <v>0</v>
      </c>
      <c r="D24" s="867">
        <f t="shared" si="1"/>
        <v>0</v>
      </c>
      <c r="E24" s="1927"/>
      <c r="F24" s="1819"/>
      <c r="G24" s="1819"/>
      <c r="H24" s="1814"/>
      <c r="I24" s="1927"/>
      <c r="J24" s="1827"/>
      <c r="K24" s="1827"/>
      <c r="L24" s="1828"/>
      <c r="M24" s="1229"/>
      <c r="N24" s="869"/>
      <c r="O24" s="869"/>
      <c r="P24" s="869"/>
      <c r="Q24" s="721" t="str">
        <f t="array" ref="Q24">IF(D24&lt;&gt;0,SUM(($I24:$P24)*($I$12:$P$12=Q$12))/D24*100,нет)</f>
        <v>нет</v>
      </c>
      <c r="R24" s="721">
        <f t="array" ref="R24">SUM(($I24:$P24)*($I$12:$P$12=R$12)*($I$11:$P$11))</f>
        <v>0</v>
      </c>
      <c r="S24" s="721">
        <f t="array" ref="S24">SUM(($I24:$P24)*($I$12:$P$12=S$12)*($I$11:$P$11))</f>
        <v>0</v>
      </c>
    </row>
    <row r="25" spans="1:39" x14ac:dyDescent="0.2">
      <c r="A25" s="551" t="str">
        <f>IF(LEN(КАФЕДРА!A25)&gt;2,КАФЕДРА!A25,"")</f>
        <v>Неврологии и Нейрохирургии с курсом ДПО</v>
      </c>
      <c r="B25" s="442" t="str">
        <f>КАФЕДРА!$D25</f>
        <v>КМЕДИЦИНЫ</v>
      </c>
      <c r="C25" s="960">
        <f>IF(LEN(КАФЕДРА!$A25)&gt;2,КАФЕДРА!C25,0)</f>
        <v>0</v>
      </c>
      <c r="D25" s="867">
        <f t="shared" si="1"/>
        <v>0</v>
      </c>
      <c r="E25" s="1927"/>
      <c r="F25" s="1819"/>
      <c r="G25" s="1819"/>
      <c r="H25" s="1814"/>
      <c r="I25" s="1927"/>
      <c r="J25" s="1827"/>
      <c r="K25" s="1827"/>
      <c r="L25" s="1828"/>
      <c r="M25" s="1229"/>
      <c r="N25" s="869"/>
      <c r="O25" s="869"/>
      <c r="P25" s="869"/>
      <c r="Q25" s="721" t="str">
        <f t="array" ref="Q25">IF(D25&lt;&gt;0,SUM(($I25:$P25)*($I$12:$P$12=Q$12))/D25*100,нет)</f>
        <v>нет</v>
      </c>
      <c r="R25" s="721">
        <f t="array" ref="R25">SUM(($I25:$P25)*($I$12:$P$12=R$12)*($I$11:$P$11))</f>
        <v>0</v>
      </c>
      <c r="S25" s="721">
        <f t="array" ref="S25">SUM(($I25:$P25)*($I$12:$P$12=S$12)*($I$11:$P$11))</f>
        <v>0</v>
      </c>
    </row>
    <row r="26" spans="1:39" x14ac:dyDescent="0.2">
      <c r="A26" s="551" t="str">
        <f>IF(LEN(КАФЕДРА!A26)&gt;2,КАФЕДРА!A26,"")</f>
        <v>Нормальной физиологии</v>
      </c>
      <c r="B26" s="442" t="str">
        <f>КАФЕДРА!$D26</f>
        <v>КМЕДИЦИНЫ</v>
      </c>
      <c r="C26" s="960">
        <f>IF(LEN(КАФЕДРА!$A26)&gt;2,КАФЕДРА!C26,0)</f>
        <v>0</v>
      </c>
      <c r="D26" s="867">
        <f t="shared" si="1"/>
        <v>0</v>
      </c>
      <c r="E26" s="1927"/>
      <c r="F26" s="1819"/>
      <c r="G26" s="1819"/>
      <c r="H26" s="1814"/>
      <c r="I26" s="1927"/>
      <c r="J26" s="1827"/>
      <c r="K26" s="1827"/>
      <c r="L26" s="1828"/>
      <c r="M26" s="1229"/>
      <c r="N26" s="869"/>
      <c r="O26" s="869"/>
      <c r="P26" s="869"/>
      <c r="Q26" s="721" t="str">
        <f t="array" ref="Q26">IF(D26&lt;&gt;0,SUM(($I26:$P26)*($I$12:$P$12=Q$12))/D26*100,нет)</f>
        <v>нет</v>
      </c>
      <c r="R26" s="721">
        <f t="array" ref="R26">SUM(($I26:$P26)*($I$12:$P$12=R$12)*($I$11:$P$11))</f>
        <v>0</v>
      </c>
      <c r="S26" s="721">
        <f t="array" ref="S26">SUM(($I26:$P26)*($I$12:$P$12=S$12)*($I$11:$P$11))</f>
        <v>0</v>
      </c>
    </row>
    <row r="27" spans="1:39" x14ac:dyDescent="0.2">
      <c r="A27" s="551" t="str">
        <f>IF(LEN(КАФЕДРА!A27)&gt;2,КАФЕДРА!A27,"")</f>
        <v>Общей хирургии, оперативной хирургии и топографической анатомии</v>
      </c>
      <c r="B27" s="442" t="str">
        <f>КАФЕДРА!$D27</f>
        <v>КМЕДИЦИНЫ</v>
      </c>
      <c r="C27" s="960">
        <f>IF(LEN(КАФЕДРА!$A27)&gt;2,КАФЕДРА!C27,0)</f>
        <v>0</v>
      </c>
      <c r="D27" s="867">
        <f t="shared" si="1"/>
        <v>0</v>
      </c>
      <c r="E27" s="1927"/>
      <c r="F27" s="1819"/>
      <c r="G27" s="1819"/>
      <c r="H27" s="1814"/>
      <c r="I27" s="1927"/>
      <c r="J27" s="1827"/>
      <c r="K27" s="1827"/>
      <c r="L27" s="1828"/>
      <c r="M27" s="1229"/>
      <c r="N27" s="869"/>
      <c r="O27" s="869"/>
      <c r="P27" s="869"/>
      <c r="Q27" s="721" t="str">
        <f t="array" ref="Q27">IF(D27&lt;&gt;0,SUM(($I27:$P27)*($I$12:$P$12=Q$12))/D27*100,нет)</f>
        <v>нет</v>
      </c>
      <c r="R27" s="721">
        <f t="array" ref="R27">SUM(($I27:$P27)*($I$12:$P$12=R$12)*($I$11:$P$11))</f>
        <v>0</v>
      </c>
      <c r="S27" s="721">
        <f t="array" ref="S27">SUM(($I27:$P27)*($I$12:$P$12=S$12)*($I$11:$P$11))</f>
        <v>0</v>
      </c>
    </row>
    <row r="28" spans="1:39" x14ac:dyDescent="0.2">
      <c r="A28" s="551" t="str">
        <f>IF(LEN(КАФЕДРА!A28)&gt;2,КАФЕДРА!A28,"")</f>
        <v>Оториноларингологии с курсом ДПО</v>
      </c>
      <c r="B28" s="442" t="str">
        <f>КАФЕДРА!$D28</f>
        <v>КМЕДИЦИНЫ</v>
      </c>
      <c r="C28" s="960">
        <f>IF(LEN(КАФЕДРА!$A28)&gt;2,КАФЕДРА!C28,0)</f>
        <v>0</v>
      </c>
      <c r="D28" s="867">
        <f t="shared" si="1"/>
        <v>0</v>
      </c>
      <c r="E28" s="1927"/>
      <c r="F28" s="1819"/>
      <c r="G28" s="1819"/>
      <c r="H28" s="1814"/>
      <c r="I28" s="1927"/>
      <c r="J28" s="1827"/>
      <c r="K28" s="1827"/>
      <c r="L28" s="1828"/>
      <c r="M28" s="1229"/>
      <c r="N28" s="869"/>
      <c r="O28" s="869"/>
      <c r="P28" s="869"/>
      <c r="Q28" s="721" t="str">
        <f t="array" ref="Q28">IF(D28&lt;&gt;0,SUM(($I28:$P28)*($I$12:$P$12=Q$12))/D28*100,нет)</f>
        <v>нет</v>
      </c>
      <c r="R28" s="721">
        <f t="array" ref="R28">SUM(($I28:$P28)*($I$12:$P$12=R$12)*($I$11:$P$11))</f>
        <v>0</v>
      </c>
      <c r="S28" s="721">
        <f t="array" ref="S28">SUM(($I28:$P28)*($I$12:$P$12=S$12)*($I$11:$P$11))</f>
        <v>0</v>
      </c>
    </row>
    <row r="29" spans="1:39" x14ac:dyDescent="0.2">
      <c r="A29" s="551" t="str">
        <f>IF(LEN(КАФЕДРА!A29)&gt;2,КАФЕДРА!A29,"")</f>
        <v>Поликлинической терапии</v>
      </c>
      <c r="B29" s="442" t="str">
        <f>КАФЕДРА!$D29</f>
        <v>КМЕДИЦИНЫ</v>
      </c>
      <c r="C29" s="960">
        <f>IF(LEN(КАФЕДРА!$A29)&gt;2,КАФЕДРА!C29,0)</f>
        <v>0</v>
      </c>
      <c r="D29" s="867">
        <f t="shared" si="1"/>
        <v>0</v>
      </c>
      <c r="E29" s="1927"/>
      <c r="F29" s="1819"/>
      <c r="G29" s="1819"/>
      <c r="H29" s="1814"/>
      <c r="I29" s="1927"/>
      <c r="J29" s="1827"/>
      <c r="K29" s="1827"/>
      <c r="L29" s="1828"/>
      <c r="M29" s="1229"/>
      <c r="N29" s="869"/>
      <c r="O29" s="869"/>
      <c r="P29" s="869"/>
      <c r="Q29" s="721" t="str">
        <f t="array" ref="Q29">IF(D29&lt;&gt;0,SUM(($I29:$P29)*($I$12:$P$12=Q$12))/D29*100,нет)</f>
        <v>нет</v>
      </c>
      <c r="R29" s="721">
        <f t="array" ref="R29">SUM(($I29:$P29)*($I$12:$P$12=R$12)*($I$11:$P$11))</f>
        <v>0</v>
      </c>
      <c r="S29" s="721">
        <f t="array" ref="S29">SUM(($I29:$P29)*($I$12:$P$12=S$12)*($I$11:$P$11))</f>
        <v>0</v>
      </c>
    </row>
    <row r="30" spans="1:39" x14ac:dyDescent="0.2">
      <c r="A30" s="551" t="str">
        <f>IF(LEN(КАФЕДРА!A30)&gt;2,КАФЕДРА!A30,"")</f>
        <v>Пропедевтики внутренних болезней имени профессора З.С. Баркагана</v>
      </c>
      <c r="B30" s="442" t="str">
        <f>КАФЕДРА!$D30</f>
        <v>КМЕДИЦИНЫ</v>
      </c>
      <c r="C30" s="960">
        <f>IF(LEN(КАФЕДРА!$A30)&gt;2,КАФЕДРА!C30,0)</f>
        <v>0</v>
      </c>
      <c r="D30" s="867">
        <f t="shared" si="1"/>
        <v>0</v>
      </c>
      <c r="E30" s="1927"/>
      <c r="F30" s="1819"/>
      <c r="G30" s="1819"/>
      <c r="H30" s="1814"/>
      <c r="I30" s="1927"/>
      <c r="J30" s="1827"/>
      <c r="K30" s="1827"/>
      <c r="L30" s="1828"/>
      <c r="M30" s="1229"/>
      <c r="N30" s="869"/>
      <c r="O30" s="869"/>
      <c r="P30" s="869"/>
      <c r="Q30" s="721" t="str">
        <f t="array" ref="Q30">IF(D30&lt;&gt;0,SUM(($I30:$P30)*($I$12:$P$12=Q$12))/D30*100,нет)</f>
        <v>нет</v>
      </c>
      <c r="R30" s="721">
        <f t="array" ref="R30">SUM(($I30:$P30)*($I$12:$P$12=R$12)*($I$11:$P$11))</f>
        <v>0</v>
      </c>
      <c r="S30" s="721">
        <f t="array" ref="S30">SUM(($I30:$P30)*($I$12:$P$12=S$12)*($I$11:$P$11))</f>
        <v>0</v>
      </c>
    </row>
    <row r="31" spans="1:39" x14ac:dyDescent="0.2">
      <c r="A31" s="551" t="str">
        <f>IF(LEN(КАФЕДРА!A31)&gt;2,КАФЕДРА!A31,"")</f>
        <v>Терапии и общей врачебной практики с курсом ДПО</v>
      </c>
      <c r="B31" s="442" t="str">
        <f>КАФЕДРА!$D31</f>
        <v>КМЕДИЦИНЫ</v>
      </c>
      <c r="C31" s="960">
        <f>IF(LEN(КАФЕДРА!$A31)&gt;2,КАФЕДРА!C31,0)</f>
        <v>0</v>
      </c>
      <c r="D31" s="867">
        <f t="shared" si="1"/>
        <v>0</v>
      </c>
      <c r="E31" s="1927"/>
      <c r="F31" s="1819"/>
      <c r="G31" s="1819"/>
      <c r="H31" s="1814"/>
      <c r="I31" s="1927"/>
      <c r="J31" s="1827"/>
      <c r="K31" s="1827"/>
      <c r="L31" s="1828"/>
      <c r="M31" s="1229"/>
      <c r="N31" s="869"/>
      <c r="O31" s="869"/>
      <c r="P31" s="869"/>
      <c r="Q31" s="721" t="str">
        <f t="array" ref="Q31">IF(D31&lt;&gt;0,SUM(($I31:$P31)*($I$12:$P$12=Q$12))/D31*100,нет)</f>
        <v>нет</v>
      </c>
      <c r="R31" s="721">
        <f t="array" ref="R31">SUM(($I31:$P31)*($I$12:$P$12=R$12)*($I$11:$P$11))</f>
        <v>0</v>
      </c>
      <c r="S31" s="721">
        <f t="array" ref="S31">SUM(($I31:$P31)*($I$12:$P$12=S$12)*($I$11:$P$11))</f>
        <v>0</v>
      </c>
    </row>
    <row r="32" spans="1:39" x14ac:dyDescent="0.2">
      <c r="A32" s="551" t="str">
        <f>IF(LEN(КАФЕДРА!A32)&gt;2,КАФЕДРА!A32,"")</f>
        <v>Травматологии и ортопедии</v>
      </c>
      <c r="B32" s="442" t="str">
        <f>КАФЕДРА!$D32</f>
        <v>КМЕДИЦИНЫ</v>
      </c>
      <c r="C32" s="960">
        <f>IF(LEN(КАФЕДРА!$A32)&gt;2,КАФЕДРА!C32,0)</f>
        <v>0</v>
      </c>
      <c r="D32" s="867">
        <f t="shared" si="1"/>
        <v>0</v>
      </c>
      <c r="E32" s="1927"/>
      <c r="F32" s="1819"/>
      <c r="G32" s="1819"/>
      <c r="H32" s="1814"/>
      <c r="I32" s="1927"/>
      <c r="J32" s="1827"/>
      <c r="K32" s="1827"/>
      <c r="L32" s="1828"/>
      <c r="M32" s="1229"/>
      <c r="N32" s="869"/>
      <c r="O32" s="869"/>
      <c r="P32" s="869"/>
      <c r="Q32" s="721" t="str">
        <f t="array" ref="Q32">IF(D32&lt;&gt;0,SUM(($I32:$P32)*($I$12:$P$12=Q$12))/D32*100,нет)</f>
        <v>нет</v>
      </c>
      <c r="R32" s="721">
        <f t="array" ref="R32">SUM(($I32:$P32)*($I$12:$P$12=R$12)*($I$11:$P$11))</f>
        <v>0</v>
      </c>
      <c r="S32" s="721">
        <f t="array" ref="S32">SUM(($I32:$P32)*($I$12:$P$12=S$12)*($I$11:$P$11))</f>
        <v>0</v>
      </c>
    </row>
    <row r="33" spans="1:19" x14ac:dyDescent="0.2">
      <c r="A33" s="551" t="str">
        <f>IF(LEN(КАФЕДРА!A33)&gt;2,КАФЕДРА!A33,"")</f>
        <v>Ультразвуковой и функциональной диагностики с курсом ДПО</v>
      </c>
      <c r="B33" s="442" t="str">
        <f>КАФЕДРА!$D33</f>
        <v>КМЕДИЦИНЫ</v>
      </c>
      <c r="C33" s="960">
        <f>IF(LEN(КАФЕДРА!$A33)&gt;2,КАФЕДРА!C33,0)</f>
        <v>0</v>
      </c>
      <c r="D33" s="867">
        <f t="shared" si="1"/>
        <v>0</v>
      </c>
      <c r="E33" s="1927"/>
      <c r="F33" s="1819"/>
      <c r="G33" s="1819"/>
      <c r="H33" s="1814"/>
      <c r="I33" s="1927"/>
      <c r="J33" s="1827"/>
      <c r="K33" s="1827"/>
      <c r="L33" s="1828"/>
      <c r="M33" s="1229"/>
      <c r="N33" s="869"/>
      <c r="O33" s="869"/>
      <c r="P33" s="869"/>
      <c r="Q33" s="721" t="str">
        <f t="array" ref="Q33">IF(D33&lt;&gt;0,SUM(($I33:$P33)*($I$12:$P$12=Q$12))/D33*100,нет)</f>
        <v>нет</v>
      </c>
      <c r="R33" s="721">
        <f t="array" ref="R33">SUM(($I33:$P33)*($I$12:$P$12=R$12)*($I$11:$P$11))</f>
        <v>0</v>
      </c>
      <c r="S33" s="721">
        <f t="array" ref="S33">SUM(($I33:$P33)*($I$12:$P$12=S$12)*($I$11:$P$11))</f>
        <v>0</v>
      </c>
    </row>
    <row r="34" spans="1:19" x14ac:dyDescent="0.2">
      <c r="A34" s="551" t="str">
        <f>IF(LEN(КАФЕДРА!A34)&gt;2,КАФЕДРА!A34,"")</f>
        <v>Урологии и андрологии с курсом ДПО</v>
      </c>
      <c r="B34" s="442" t="str">
        <f>КАФЕДРА!$D34</f>
        <v>КМЕДИЦИНЫ</v>
      </c>
      <c r="C34" s="960">
        <f>IF(LEN(КАФЕДРА!$A34)&gt;2,КАФЕДРА!C34,0)</f>
        <v>0</v>
      </c>
      <c r="D34" s="867">
        <f t="shared" si="1"/>
        <v>0</v>
      </c>
      <c r="E34" s="1927"/>
      <c r="F34" s="1819"/>
      <c r="G34" s="1819"/>
      <c r="H34" s="1814"/>
      <c r="I34" s="1927"/>
      <c r="J34" s="1827"/>
      <c r="K34" s="1827"/>
      <c r="L34" s="1828"/>
      <c r="M34" s="1229"/>
      <c r="N34" s="869"/>
      <c r="O34" s="869"/>
      <c r="P34" s="869"/>
      <c r="Q34" s="721" t="str">
        <f t="array" ref="Q34">IF(D34&lt;&gt;0,SUM(($I34:$P34)*($I$12:$P$12=Q$12))/D34*100,нет)</f>
        <v>нет</v>
      </c>
      <c r="R34" s="721">
        <f t="array" ref="R34">SUM(($I34:$P34)*($I$12:$P$12=R$12)*($I$11:$P$11))</f>
        <v>0</v>
      </c>
      <c r="S34" s="721">
        <f t="array" ref="S34">SUM(($I34:$P34)*($I$12:$P$12=S$12)*($I$11:$P$11))</f>
        <v>0</v>
      </c>
    </row>
    <row r="35" spans="1:19" x14ac:dyDescent="0.2">
      <c r="A35" s="551" t="str">
        <f>IF(LEN(КАФЕДРА!A35)&gt;2,КАФЕДРА!A35,"")</f>
        <v>Факультетской терапии и профессиональных болезней</v>
      </c>
      <c r="B35" s="442" t="str">
        <f>КАФЕДРА!$D35</f>
        <v>КМЕДИЦИНЫ</v>
      </c>
      <c r="C35" s="960">
        <f>IF(LEN(КАФЕДРА!$A35)&gt;2,КАФЕДРА!C35,0)</f>
        <v>0</v>
      </c>
      <c r="D35" s="867">
        <f t="shared" si="1"/>
        <v>0</v>
      </c>
      <c r="E35" s="1927"/>
      <c r="F35" s="1819"/>
      <c r="G35" s="1819"/>
      <c r="H35" s="1814"/>
      <c r="I35" s="1927"/>
      <c r="J35" s="1827"/>
      <c r="K35" s="1827"/>
      <c r="L35" s="1828"/>
      <c r="M35" s="1229"/>
      <c r="N35" s="869"/>
      <c r="O35" s="869"/>
      <c r="P35" s="869">
        <v>46800</v>
      </c>
      <c r="Q35" s="721" t="str">
        <f t="array" ref="Q35">IF(D35&lt;&gt;0,SUM(($I35:$P35)*($I$12:$P$12=Q$12))/D35*100,нет)</f>
        <v>нет</v>
      </c>
      <c r="R35" s="721">
        <f t="array" ref="R35">SUM(($I35:$P35)*($I$12:$P$12=R$12)*($I$11:$P$11))</f>
        <v>0</v>
      </c>
      <c r="S35" s="721">
        <f t="array" ref="S35">SUM(($I35:$P35)*($I$12:$P$12=S$12)*($I$11:$P$11))</f>
        <v>0</v>
      </c>
    </row>
    <row r="36" spans="1:19" ht="15" thickBot="1" x14ac:dyDescent="0.25">
      <c r="A36" s="1247" t="str">
        <f>IF(LEN(КАФЕДРА!A36)&gt;2,КАФЕДРА!A36,"")</f>
        <v>Факультетской хирургии имени профессора И.И. Неймарка с курсом ДПО</v>
      </c>
      <c r="B36" s="1248" t="str">
        <f>КАФЕДРА!$D36</f>
        <v>КМЕДИЦИНЫ</v>
      </c>
      <c r="C36" s="1249">
        <f>IF(LEN(КАФЕДРА!$A36)&gt;2,КАФЕДРА!C36,0)</f>
        <v>0</v>
      </c>
      <c r="D36" s="1250">
        <f t="shared" si="1"/>
        <v>0</v>
      </c>
      <c r="E36" s="1928"/>
      <c r="F36" s="1820"/>
      <c r="G36" s="1820"/>
      <c r="H36" s="1821"/>
      <c r="I36" s="1928"/>
      <c r="J36" s="1829"/>
      <c r="K36" s="1829"/>
      <c r="L36" s="1830"/>
      <c r="M36" s="1251"/>
      <c r="N36" s="1252"/>
      <c r="O36" s="1252"/>
      <c r="P36" s="1252"/>
      <c r="Q36" s="1254" t="str">
        <f t="array" ref="Q36">IF(D36&lt;&gt;0,SUM(($I36:$P36)*($I$12:$P$12=Q$12))/D36*100,нет)</f>
        <v>нет</v>
      </c>
      <c r="R36" s="1254">
        <f t="array" ref="R36">SUM(($I36:$P36)*($I$12:$P$12=R$12)*($I$11:$P$11))</f>
        <v>0</v>
      </c>
      <c r="S36" s="1254">
        <f t="array" ref="S36">SUM(($I36:$P36)*($I$12:$P$12=S$12)*($I$11:$P$11))</f>
        <v>0</v>
      </c>
    </row>
    <row r="37" spans="1:19" s="371" customFormat="1" x14ac:dyDescent="0.2">
      <c r="A37" s="582" t="str">
        <f>IF(LEN(КАФЕДРА!A37)&gt;2,КАФЕДРА!A37,"")</f>
        <v>Госпитальной педиатрии с курсом ДПО</v>
      </c>
      <c r="B37" s="1176" t="str">
        <f>КАФЕДРА!$D37</f>
        <v>ПЕДИАТРИИ</v>
      </c>
      <c r="C37" s="370">
        <f>IF(LEN(КАФЕДРА!$A37)&gt;2,КАФЕДРА!C37,0)</f>
        <v>0</v>
      </c>
      <c r="D37" s="1243">
        <f t="shared" ref="D37:D77" si="2">SUM(E37:H37)</f>
        <v>0</v>
      </c>
      <c r="E37" s="1244"/>
      <c r="F37" s="1817"/>
      <c r="G37" s="1817"/>
      <c r="H37" s="1818"/>
      <c r="I37" s="1244"/>
      <c r="J37" s="1825"/>
      <c r="K37" s="1825"/>
      <c r="L37" s="1826"/>
      <c r="M37" s="1244"/>
      <c r="N37" s="1178"/>
      <c r="O37" s="1178"/>
      <c r="P37" s="1178"/>
      <c r="Q37" s="1177" t="str">
        <f t="array" ref="Q37">IF(D37&lt;&gt;0,SUM(($I37:$P37)*($I$12:$P$12=Q$12))/D37*100,нет)</f>
        <v>нет</v>
      </c>
      <c r="R37" s="1177">
        <f t="array" ref="R37">SUM(($I37:$P37)*($I$12:$P$12=R$12)*($I$11:$P$11))</f>
        <v>0</v>
      </c>
      <c r="S37" s="1245">
        <f t="array" ref="S37">SUM(($I37:$P37)*($I$12:$P$12=S$12)*($I$11:$P$11))</f>
        <v>0</v>
      </c>
    </row>
    <row r="38" spans="1:19" x14ac:dyDescent="0.2">
      <c r="A38" s="551" t="str">
        <f>IF(LEN(КАФЕДРА!A38)&gt;2,КАФЕДРА!A38,"")</f>
        <v>Лучевой диагностики и эндоскопии с курсом ДПО</v>
      </c>
      <c r="B38" s="786" t="str">
        <f>КАФЕДРА!$D38</f>
        <v>ПЕДИАТРИИ</v>
      </c>
      <c r="C38" s="960">
        <f>IF(LEN(КАФЕДРА!$A38)&gt;2,КАФЕДРА!C38,0)</f>
        <v>0</v>
      </c>
      <c r="D38" s="867">
        <f t="shared" si="2"/>
        <v>0</v>
      </c>
      <c r="E38" s="1927"/>
      <c r="F38" s="1819"/>
      <c r="G38" s="1819"/>
      <c r="H38" s="1814"/>
      <c r="I38" s="1927"/>
      <c r="J38" s="1827"/>
      <c r="K38" s="1827"/>
      <c r="L38" s="1828"/>
      <c r="M38" s="1229"/>
      <c r="N38" s="869"/>
      <c r="O38" s="869"/>
      <c r="P38" s="869"/>
      <c r="Q38" s="721" t="str">
        <f t="array" ref="Q38">IF(D38&lt;&gt;0,SUM(($I38:$P38)*($I$12:$P$12=Q$12))/D38*100,нет)</f>
        <v>нет</v>
      </c>
      <c r="R38" s="721">
        <f t="array" ref="R38">SUM(($I38:$P38)*($I$12:$P$12=R$12)*($I$11:$P$11))</f>
        <v>0</v>
      </c>
      <c r="S38" s="1246">
        <f t="array" ref="S38">SUM(($I38:$P38)*($I$12:$P$12=S$12)*($I$11:$P$11))</f>
        <v>0</v>
      </c>
    </row>
    <row r="39" spans="1:19" x14ac:dyDescent="0.2">
      <c r="A39" s="551" t="str">
        <f>IF(LEN(КАФЕДРА!A39)&gt;2,КАФЕДРА!A39,"")</f>
        <v>Неонатологии и детской анестезиологии с курсом ДПО</v>
      </c>
      <c r="B39" s="786" t="str">
        <f>КАФЕДРА!$D39</f>
        <v>ПЕДИАТРИИ</v>
      </c>
      <c r="C39" s="960">
        <f>IF(LEN(КАФЕДРА!$A39)&gt;2,КАФЕДРА!C39,0)</f>
        <v>0</v>
      </c>
      <c r="D39" s="867">
        <f t="shared" si="2"/>
        <v>0</v>
      </c>
      <c r="E39" s="1927"/>
      <c r="F39" s="1819"/>
      <c r="G39" s="1819"/>
      <c r="H39" s="1814"/>
      <c r="I39" s="1927"/>
      <c r="J39" s="1827"/>
      <c r="K39" s="1827"/>
      <c r="L39" s="1828"/>
      <c r="M39" s="1229"/>
      <c r="N39" s="869"/>
      <c r="O39" s="869"/>
      <c r="P39" s="869"/>
      <c r="Q39" s="721" t="str">
        <f t="array" ref="Q39">IF(D39&lt;&gt;0,SUM(($I39:$P39)*($I$12:$P$12=Q$12))/D39*100,нет)</f>
        <v>нет</v>
      </c>
      <c r="R39" s="721">
        <f t="array" ref="R39">SUM(($I39:$P39)*($I$12:$P$12=R$12)*($I$11:$P$11))</f>
        <v>0</v>
      </c>
      <c r="S39" s="1246">
        <f t="array" ref="S39">SUM(($I39:$P39)*($I$12:$P$12=S$12)*($I$11:$P$11))</f>
        <v>0</v>
      </c>
    </row>
    <row r="40" spans="1:19" x14ac:dyDescent="0.2">
      <c r="A40" s="551" t="str">
        <f>IF(LEN(КАФЕДРА!A40)&gt;2,КАФЕДРА!A40,"")</f>
        <v>Онкологии, лучевой терапии с курсом ДПО</v>
      </c>
      <c r="B40" s="786" t="str">
        <f>КАФЕДРА!$D40</f>
        <v>ПЕДИАТРИИ</v>
      </c>
      <c r="C40" s="960">
        <f>IF(LEN(КАФЕДРА!$A40)&gt;2,КАФЕДРА!C40,0)</f>
        <v>0</v>
      </c>
      <c r="D40" s="867">
        <f t="shared" si="2"/>
        <v>0</v>
      </c>
      <c r="E40" s="1927"/>
      <c r="F40" s="1819"/>
      <c r="G40" s="1819"/>
      <c r="H40" s="1814"/>
      <c r="I40" s="1927"/>
      <c r="J40" s="1827"/>
      <c r="K40" s="1827"/>
      <c r="L40" s="1828"/>
      <c r="M40" s="1229"/>
      <c r="N40" s="869"/>
      <c r="O40" s="869"/>
      <c r="P40" s="869"/>
      <c r="Q40" s="721" t="str">
        <f t="array" ref="Q40">IF(D40&lt;&gt;0,SUM(($I40:$P40)*($I$12:$P$12=Q$12))/D40*100,нет)</f>
        <v>нет</v>
      </c>
      <c r="R40" s="721">
        <f t="array" ref="R40">SUM(($I40:$P40)*($I$12:$P$12=R$12)*($I$11:$P$11))</f>
        <v>0</v>
      </c>
      <c r="S40" s="1246">
        <f t="array" ref="S40">SUM(($I40:$P40)*($I$12:$P$12=S$12)*($I$11:$P$11))</f>
        <v>0</v>
      </c>
    </row>
    <row r="41" spans="1:19" x14ac:dyDescent="0.2">
      <c r="A41" s="551" t="str">
        <f>IF(LEN(КАФЕДРА!A41)&gt;2,КАФЕДРА!A41,"")</f>
        <v>Офтальмологии с курсом ДПО</v>
      </c>
      <c r="B41" s="786" t="str">
        <f>КАФЕДРА!$D41</f>
        <v>ПЕДИАТРИИ</v>
      </c>
      <c r="C41" s="960">
        <f>IF(LEN(КАФЕДРА!$A41)&gt;2,КАФЕДРА!C41,0)</f>
        <v>0</v>
      </c>
      <c r="D41" s="867">
        <f t="shared" si="2"/>
        <v>0</v>
      </c>
      <c r="E41" s="1927"/>
      <c r="F41" s="1819"/>
      <c r="G41" s="1819"/>
      <c r="H41" s="1814"/>
      <c r="I41" s="1927"/>
      <c r="J41" s="1827"/>
      <c r="K41" s="1827"/>
      <c r="L41" s="1828"/>
      <c r="M41" s="1229"/>
      <c r="N41" s="869"/>
      <c r="O41" s="869"/>
      <c r="P41" s="869"/>
      <c r="Q41" s="721" t="str">
        <f t="array" ref="Q41">IF(D41&lt;&gt;0,SUM(($I41:$P41)*($I$12:$P$12=Q$12))/D41*100,нет)</f>
        <v>нет</v>
      </c>
      <c r="R41" s="721">
        <f t="array" ref="R41">SUM(($I41:$P41)*($I$12:$P$12=R$12)*($I$11:$P$11))</f>
        <v>0</v>
      </c>
      <c r="S41" s="1246">
        <f t="array" ref="S41">SUM(($I41:$P41)*($I$12:$P$12=S$12)*($I$11:$P$11))</f>
        <v>0</v>
      </c>
    </row>
    <row r="42" spans="1:19" x14ac:dyDescent="0.2">
      <c r="A42" s="551" t="str">
        <f>IF(LEN(КАФЕДРА!A42)&gt;2,КАФЕДРА!A42,"")</f>
        <v>Патологической физиологии</v>
      </c>
      <c r="B42" s="786" t="str">
        <f>КАФЕДРА!$D42</f>
        <v>ПЕДИАТРИИ</v>
      </c>
      <c r="C42" s="960">
        <f>IF(LEN(КАФЕДРА!$A42)&gt;2,КАФЕДРА!C42,0)</f>
        <v>0</v>
      </c>
      <c r="D42" s="867">
        <f t="shared" si="2"/>
        <v>0</v>
      </c>
      <c r="E42" s="1927"/>
      <c r="F42" s="1819"/>
      <c r="G42" s="1819"/>
      <c r="H42" s="1814"/>
      <c r="I42" s="1927"/>
      <c r="J42" s="1827"/>
      <c r="K42" s="1827"/>
      <c r="L42" s="1828"/>
      <c r="M42" s="1229"/>
      <c r="N42" s="869"/>
      <c r="O42" s="869"/>
      <c r="P42" s="1255">
        <v>128700</v>
      </c>
      <c r="Q42" s="721" t="str">
        <f t="array" ref="Q42">IF(D42&lt;&gt;0,SUM(($I42:$P42)*($I$12:$P$12=Q$12))/D42*100,нет)</f>
        <v>нет</v>
      </c>
      <c r="R42" s="721">
        <f t="array" ref="R42">SUM(($I42:$P42)*($I$12:$P$12=R$12)*($I$11:$P$11))</f>
        <v>0</v>
      </c>
      <c r="S42" s="1246">
        <f t="array" ref="S42">SUM(($I42:$P42)*($I$12:$P$12=S$12)*($I$11:$P$11))</f>
        <v>0</v>
      </c>
    </row>
    <row r="43" spans="1:19" x14ac:dyDescent="0.2">
      <c r="A43" s="551" t="str">
        <f>IF(LEN(КАФЕДРА!A43)&gt;2,КАФЕДРА!A43,"")</f>
        <v>Пропедевтики детских болезней</v>
      </c>
      <c r="B43" s="786" t="str">
        <f>КАФЕДРА!$D43</f>
        <v>ПЕДИАТРИИ</v>
      </c>
      <c r="C43" s="960">
        <f>IF(LEN(КАФЕДРА!$A43)&gt;2,КАФЕДРА!C43,0)</f>
        <v>0</v>
      </c>
      <c r="D43" s="867">
        <f t="shared" si="2"/>
        <v>0</v>
      </c>
      <c r="E43" s="1927"/>
      <c r="F43" s="1819"/>
      <c r="G43" s="1819"/>
      <c r="H43" s="1814"/>
      <c r="I43" s="1927"/>
      <c r="J43" s="1827"/>
      <c r="K43" s="1827"/>
      <c r="L43" s="1828"/>
      <c r="M43" s="1229"/>
      <c r="N43" s="869"/>
      <c r="O43" s="869"/>
      <c r="P43" s="1255">
        <v>24000</v>
      </c>
      <c r="Q43" s="721" t="str">
        <f t="array" ref="Q43">IF(D43&lt;&gt;0,SUM(($I43:$P43)*($I$12:$P$12=Q$12))/D43*100,нет)</f>
        <v>нет</v>
      </c>
      <c r="R43" s="721">
        <f t="array" ref="R43">SUM(($I43:$P43)*($I$12:$P$12=R$12)*($I$11:$P$11))</f>
        <v>0</v>
      </c>
      <c r="S43" s="1246">
        <f t="array" ref="S43">SUM(($I43:$P43)*($I$12:$P$12=S$12)*($I$11:$P$11))</f>
        <v>0</v>
      </c>
    </row>
    <row r="44" spans="1:19" x14ac:dyDescent="0.2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786" t="str">
        <f>КАФЕДРА!$D44</f>
        <v>ПЕДИАТРИИ</v>
      </c>
      <c r="C44" s="960">
        <f>IF(LEN(КАФЕДРА!$A44)&gt;2,КАФЕДРА!C44,0)</f>
        <v>0</v>
      </c>
      <c r="D44" s="867">
        <f t="shared" si="2"/>
        <v>0</v>
      </c>
      <c r="E44" s="1927"/>
      <c r="F44" s="1819"/>
      <c r="G44" s="1819"/>
      <c r="H44" s="1814"/>
      <c r="I44" s="1927"/>
      <c r="J44" s="1827"/>
      <c r="K44" s="1827"/>
      <c r="L44" s="1828"/>
      <c r="M44" s="1229"/>
      <c r="N44" s="869"/>
      <c r="O44" s="869"/>
      <c r="P44" s="1255"/>
      <c r="Q44" s="721" t="str">
        <f t="array" ref="Q44">IF(D44&lt;&gt;0,SUM(($I44:$P44)*($I$12:$P$12=Q$12))/D44*100,нет)</f>
        <v>нет</v>
      </c>
      <c r="R44" s="721">
        <f t="array" ref="R44">SUM(($I44:$P44)*($I$12:$P$12=R$12)*($I$11:$P$11))</f>
        <v>0</v>
      </c>
      <c r="S44" s="1246">
        <f t="array" ref="S44">SUM(($I44:$P44)*($I$12:$P$12=S$12)*($I$11:$P$11))</f>
        <v>0</v>
      </c>
    </row>
    <row r="45" spans="1:19" x14ac:dyDescent="0.2">
      <c r="A45" s="551" t="str">
        <f>IF(LEN(КАФЕДРА!A45)&gt;2,КАФЕДРА!A45,"")</f>
        <v>Факультетской педиатрии</v>
      </c>
      <c r="B45" s="786" t="str">
        <f>КАФЕДРА!$D45</f>
        <v>ПЕДИАТРИИ</v>
      </c>
      <c r="C45" s="960">
        <f>IF(LEN(КАФЕДРА!$A45)&gt;2,КАФЕДРА!C45,0)</f>
        <v>0</v>
      </c>
      <c r="D45" s="867">
        <f t="shared" si="2"/>
        <v>0</v>
      </c>
      <c r="E45" s="1927"/>
      <c r="F45" s="1819"/>
      <c r="G45" s="1819"/>
      <c r="H45" s="1814"/>
      <c r="I45" s="1927"/>
      <c r="J45" s="1827"/>
      <c r="K45" s="1827"/>
      <c r="L45" s="1828"/>
      <c r="M45" s="1229"/>
      <c r="N45" s="869"/>
      <c r="O45" s="869"/>
      <c r="P45" s="1255"/>
      <c r="Q45" s="721" t="str">
        <f t="array" ref="Q45">IF(D45&lt;&gt;0,SUM(($I45:$P45)*($I$12:$P$12=Q$12))/D45*100,нет)</f>
        <v>нет</v>
      </c>
      <c r="R45" s="721">
        <f t="array" ref="R45">SUM(($I45:$P45)*($I$12:$P$12=R$12)*($I$11:$P$11))</f>
        <v>0</v>
      </c>
      <c r="S45" s="1246">
        <f t="array" ref="S45">SUM(($I45:$P45)*($I$12:$P$12=S$12)*($I$11:$P$11))</f>
        <v>0</v>
      </c>
    </row>
    <row r="46" spans="1:19" x14ac:dyDescent="0.2">
      <c r="A46" s="551" t="str">
        <f>IF(LEN(КАФЕДРА!A46)&gt;2,КАФЕДРА!A46,"")</f>
        <v>Хирургических болезней детского возраста</v>
      </c>
      <c r="B46" s="786" t="str">
        <f>КАФЕДРА!$D46</f>
        <v>ПЕДИАТРИИ</v>
      </c>
      <c r="C46" s="960">
        <f>IF(LEN(КАФЕДРА!$A46)&gt;2,КАФЕДРА!C46,0)</f>
        <v>0</v>
      </c>
      <c r="D46" s="867">
        <f t="shared" si="2"/>
        <v>0</v>
      </c>
      <c r="E46" s="1927"/>
      <c r="F46" s="1819"/>
      <c r="G46" s="1819"/>
      <c r="H46" s="1814"/>
      <c r="I46" s="1927"/>
      <c r="J46" s="1827"/>
      <c r="K46" s="1827"/>
      <c r="L46" s="1828"/>
      <c r="M46" s="1229"/>
      <c r="N46" s="869"/>
      <c r="O46" s="869"/>
      <c r="P46" s="1255"/>
      <c r="Q46" s="958" t="str">
        <f t="array" ref="Q46">IF(D46&lt;&gt;0,SUM(($I46:$P46)*($I$12:$P$12=Q$12))/D46*100,нет)</f>
        <v>нет</v>
      </c>
      <c r="R46" s="958">
        <f t="array" ref="R46">SUM(($I46:$P46)*($I$12:$P$12=R$12)*($I$11:$P$11))</f>
        <v>0</v>
      </c>
      <c r="S46" s="1256">
        <f t="array" ref="S46">SUM(($I46:$P46)*($I$12:$P$12=S$12)*($I$11:$P$11))</f>
        <v>0</v>
      </c>
    </row>
    <row r="47" spans="1:19" s="767" customFormat="1" ht="15" thickBot="1" x14ac:dyDescent="0.25">
      <c r="A47" s="587" t="str">
        <f>IF(LEN(КАФЕДРА!A47)&gt;2,КАФЕДРА!A47,"")</f>
        <v>Клинической фармакологии</v>
      </c>
      <c r="B47" s="1257" t="str">
        <f>КАФЕДРА!$D47</f>
        <v>ПЕДИАТРИИ</v>
      </c>
      <c r="C47" s="1208">
        <f>IF(LEN(КАФЕДРА!$A47)&gt;2,КАФЕДРА!C47,0)</f>
        <v>0</v>
      </c>
      <c r="D47" s="1258">
        <f t="shared" ref="D47" si="3">SUM(E47:H47)</f>
        <v>0</v>
      </c>
      <c r="E47" s="1259"/>
      <c r="F47" s="1822"/>
      <c r="G47" s="1822"/>
      <c r="H47" s="1823"/>
      <c r="I47" s="1259"/>
      <c r="J47" s="1831"/>
      <c r="K47" s="1831"/>
      <c r="L47" s="1832"/>
      <c r="M47" s="1259"/>
      <c r="N47" s="1260"/>
      <c r="O47" s="1260"/>
      <c r="P47" s="1261"/>
      <c r="Q47" s="1175" t="str">
        <f t="array" ref="Q47">IF(D47&lt;&gt;0,SUM(($I47:$P47)*($I$12:$P$12=Q$12))/D47*100,нет)</f>
        <v>нет</v>
      </c>
      <c r="R47" s="1175">
        <f t="array" ref="R47">SUM(($I47:$P47)*($I$12:$P$12=R$12)*($I$11:$P$11))</f>
        <v>0</v>
      </c>
      <c r="S47" s="1262">
        <f t="array" ref="S47">SUM(($I47:$P47)*($I$12:$P$12=S$12)*($I$11:$P$11))</f>
        <v>0</v>
      </c>
    </row>
    <row r="48" spans="1:19" s="371" customFormat="1" x14ac:dyDescent="0.2">
      <c r="A48" s="582" t="str">
        <f>IF(LEN(КАФЕДРА!A48)&gt;2,КАФЕДРА!A48,"")</f>
        <v>Ортопедической стоматологии</v>
      </c>
      <c r="B48" s="1181" t="str">
        <f>КАФЕДРА!$D48</f>
        <v>СТОМ</v>
      </c>
      <c r="C48" s="370">
        <f>IF(LEN(КАФЕДРА!$A48)&gt;2,КАФЕДРА!C48,0)</f>
        <v>0</v>
      </c>
      <c r="D48" s="1243">
        <f t="shared" si="2"/>
        <v>0</v>
      </c>
      <c r="E48" s="1244"/>
      <c r="F48" s="1817"/>
      <c r="G48" s="1817"/>
      <c r="H48" s="1818"/>
      <c r="I48" s="1244"/>
      <c r="J48" s="1825"/>
      <c r="K48" s="1825"/>
      <c r="L48" s="1826"/>
      <c r="M48" s="1244"/>
      <c r="N48" s="1178"/>
      <c r="O48" s="1178"/>
      <c r="P48" s="1263"/>
      <c r="Q48" s="1177" t="str">
        <f t="array" ref="Q48">IF(D48&lt;&gt;0,SUM(($I48:$P48)*($I$12:$P$12=Q$12))/D48*100,нет)</f>
        <v>нет</v>
      </c>
      <c r="R48" s="1177">
        <f t="array" ref="R48">SUM(($I48:$P48)*($I$12:$P$12=R$12)*($I$11:$P$11))</f>
        <v>0</v>
      </c>
      <c r="S48" s="1245">
        <f t="array" ref="S48">SUM(($I48:$P48)*($I$12:$P$12=S$12)*($I$11:$P$11))</f>
        <v>0</v>
      </c>
    </row>
    <row r="49" spans="1:19" x14ac:dyDescent="0.2">
      <c r="A49" s="551" t="str">
        <f>IF(LEN(КАФЕДРА!A49)&gt;2,КАФЕДРА!A49,"")</f>
        <v>Стоматологии детского возраста</v>
      </c>
      <c r="B49" s="789" t="str">
        <f>КАФЕДРА!$D49</f>
        <v>СТОМ</v>
      </c>
      <c r="C49" s="960">
        <f>IF(LEN(КАФЕДРА!$A49)&gt;2,КАФЕДРА!C49,0)</f>
        <v>0</v>
      </c>
      <c r="D49" s="867">
        <f t="shared" si="2"/>
        <v>0</v>
      </c>
      <c r="E49" s="1927"/>
      <c r="F49" s="1819"/>
      <c r="G49" s="1819"/>
      <c r="H49" s="1814"/>
      <c r="I49" s="1927"/>
      <c r="J49" s="1827"/>
      <c r="K49" s="1827"/>
      <c r="L49" s="1828"/>
      <c r="M49" s="1229"/>
      <c r="N49" s="869"/>
      <c r="O49" s="869"/>
      <c r="P49" s="1255"/>
      <c r="Q49" s="721" t="str">
        <f t="array" ref="Q49">IF(D49&lt;&gt;0,SUM(($I49:$P49)*($I$12:$P$12=Q$12))/D49*100,нет)</f>
        <v>нет</v>
      </c>
      <c r="R49" s="721">
        <f t="array" ref="R49">SUM(($I49:$P49)*($I$12:$P$12=R$12)*($I$11:$P$11))</f>
        <v>0</v>
      </c>
      <c r="S49" s="1246">
        <f t="array" ref="S49">SUM(($I49:$P49)*($I$12:$P$12=S$12)*($I$11:$P$11))</f>
        <v>0</v>
      </c>
    </row>
    <row r="50" spans="1:19" x14ac:dyDescent="0.2">
      <c r="A50" s="551" t="str">
        <f>IF(LEN(КАФЕДРА!A50)&gt;2,КАФЕДРА!A50,"")</f>
        <v>Терапевтической стоматологии</v>
      </c>
      <c r="B50" s="789" t="str">
        <f>КАФЕДРА!$D50</f>
        <v>СТОМ</v>
      </c>
      <c r="C50" s="960">
        <f>IF(LEN(КАФЕДРА!$A50)&gt;2,КАФЕДРА!C50,0)</f>
        <v>0</v>
      </c>
      <c r="D50" s="867">
        <f t="shared" si="2"/>
        <v>0</v>
      </c>
      <c r="E50" s="1927"/>
      <c r="F50" s="1819"/>
      <c r="G50" s="1819"/>
      <c r="H50" s="1814"/>
      <c r="I50" s="1927"/>
      <c r="J50" s="1827"/>
      <c r="K50" s="1827"/>
      <c r="L50" s="1828"/>
      <c r="M50" s="1229"/>
      <c r="N50" s="869"/>
      <c r="O50" s="869"/>
      <c r="P50" s="1255">
        <v>16000</v>
      </c>
      <c r="Q50" s="721" t="str">
        <f t="array" ref="Q50">IF(D50&lt;&gt;0,SUM(($I50:$P50)*($I$12:$P$12=Q$12))/D50*100,нет)</f>
        <v>нет</v>
      </c>
      <c r="R50" s="721">
        <f t="array" ref="R50">SUM(($I50:$P50)*($I$12:$P$12=R$12)*($I$11:$P$11))</f>
        <v>0</v>
      </c>
      <c r="S50" s="1246">
        <f t="array" ref="S50">SUM(($I50:$P50)*($I$12:$P$12=S$12)*($I$11:$P$11))</f>
        <v>0</v>
      </c>
    </row>
    <row r="51" spans="1:19" x14ac:dyDescent="0.2">
      <c r="A51" s="551" t="str">
        <f>IF(LEN(КАФЕДРА!A51)&gt;2,КАФЕДРА!A51,"")</f>
        <v>Физической культуры и здорового образа жизни</v>
      </c>
      <c r="B51" s="789" t="str">
        <f>КАФЕДРА!$D51</f>
        <v>СТОМ</v>
      </c>
      <c r="C51" s="960">
        <f>IF(LEN(КАФЕДРА!$A51)&gt;2,КАФЕДРА!C51,0)</f>
        <v>0</v>
      </c>
      <c r="D51" s="867">
        <f t="shared" si="2"/>
        <v>0</v>
      </c>
      <c r="E51" s="1927"/>
      <c r="F51" s="1819"/>
      <c r="G51" s="1819"/>
      <c r="H51" s="1814"/>
      <c r="I51" s="1927"/>
      <c r="J51" s="1827"/>
      <c r="K51" s="1827"/>
      <c r="L51" s="1828"/>
      <c r="M51" s="1229"/>
      <c r="N51" s="869"/>
      <c r="O51" s="1264"/>
      <c r="P51" s="1255"/>
      <c r="Q51" s="721" t="str">
        <f t="array" ref="Q51">IF(D51&lt;&gt;0,SUM(($I51:$P51)*($I$12:$P$12=Q$12))/D51*100,нет)</f>
        <v>нет</v>
      </c>
      <c r="R51" s="721">
        <f t="array" ref="R51">SUM(($I51:$P51)*($I$12:$P$12=R$12)*($I$11:$P$11))</f>
        <v>0</v>
      </c>
      <c r="S51" s="1246">
        <f t="array" ref="S51">SUM(($I51:$P51)*($I$12:$P$12=S$12)*($I$11:$P$11))</f>
        <v>0</v>
      </c>
    </row>
    <row r="52" spans="1:19" ht="15" thickBot="1" x14ac:dyDescent="0.25">
      <c r="A52" s="1247" t="str">
        <f>IF(LEN(КАФЕДРА!A52)&gt;2,КАФЕДРА!A52,"")</f>
        <v>Хирургической стоматологии, челюстно-лицевой хирургии</v>
      </c>
      <c r="B52" s="1265" t="str">
        <f>КАФЕДРА!$D52</f>
        <v>СТОМ</v>
      </c>
      <c r="C52" s="1249">
        <f>IF(LEN(КАФЕДРА!$A52)&gt;2,КАФЕДРА!C52,0)</f>
        <v>0</v>
      </c>
      <c r="D52" s="1250">
        <f t="shared" si="2"/>
        <v>0</v>
      </c>
      <c r="E52" s="1928"/>
      <c r="F52" s="1820"/>
      <c r="G52" s="1820"/>
      <c r="H52" s="1821"/>
      <c r="I52" s="1928"/>
      <c r="J52" s="1829"/>
      <c r="K52" s="1829"/>
      <c r="L52" s="1830"/>
      <c r="M52" s="1251"/>
      <c r="N52" s="1252"/>
      <c r="O52" s="1252"/>
      <c r="P52" s="1266"/>
      <c r="Q52" s="1254" t="str">
        <f t="array" ref="Q52">IF(D52&lt;&gt;0,SUM(($I52:$P52)*($I$12:$P$12=Q$12))/D52*100,нет)</f>
        <v>нет</v>
      </c>
      <c r="R52" s="1254">
        <f t="array" ref="R52">SUM(($I52:$P52)*($I$12:$P$12=R$12)*($I$11:$P$11))</f>
        <v>0</v>
      </c>
      <c r="S52" s="1253">
        <f t="array" ref="S52">SUM(($I52:$P52)*($I$12:$P$12=S$12)*($I$11:$P$11))</f>
        <v>0</v>
      </c>
    </row>
    <row r="53" spans="1:19" s="371" customFormat="1" x14ac:dyDescent="0.2">
      <c r="A53" s="582" t="str">
        <f>IF(LEN(КАФЕДРА!A53)&gt;2,КАФЕДРА!A53,"")</f>
        <v>Биологии, гистологии, эмбриологии и цитологии</v>
      </c>
      <c r="B53" s="1183" t="str">
        <f>КАФЕДРА!$D53</f>
        <v>ОЗДОРОВЬЯ</v>
      </c>
      <c r="C53" s="370">
        <f>IF(LEN(КАФЕДРА!$A53)&gt;2,КАФЕДРА!C53,0)</f>
        <v>0</v>
      </c>
      <c r="D53" s="1243">
        <f t="shared" si="2"/>
        <v>596266</v>
      </c>
      <c r="E53" s="1244">
        <v>596266</v>
      </c>
      <c r="F53" s="1817"/>
      <c r="G53" s="1817"/>
      <c r="H53" s="1818"/>
      <c r="I53" s="1244">
        <v>596266</v>
      </c>
      <c r="J53" s="1825"/>
      <c r="K53" s="1825"/>
      <c r="L53" s="1826"/>
      <c r="M53" s="1244">
        <v>406187.16</v>
      </c>
      <c r="N53" s="1178">
        <v>394256</v>
      </c>
      <c r="O53" s="1178">
        <v>24000</v>
      </c>
      <c r="P53" s="1263">
        <v>568900</v>
      </c>
      <c r="Q53" s="1177">
        <f t="array" ref="Q53">IF(D53&lt;&gt;0,SUM(($I53:$P53)*($I$12:$P$12=Q$12))/D53*100,нет)</f>
        <v>100</v>
      </c>
      <c r="R53" s="1177">
        <f t="array" ref="R53">SUM(($I53:$P53)*($I$12:$P$12=R$12)*($I$11:$P$11))</f>
        <v>596266</v>
      </c>
      <c r="S53" s="1177">
        <f t="array" ref="S53">SUM(($I53:$P53)*($I$12:$P$12=S$12)*($I$11:$P$11))</f>
        <v>800443.15999999992</v>
      </c>
    </row>
    <row r="54" spans="1:19" x14ac:dyDescent="0.2">
      <c r="A54" s="551" t="str">
        <f>IF(LEN(КАФЕДРА!A54)&gt;2,КАФЕДРА!A54,"")</f>
        <v>Гигиены и основ экологии</v>
      </c>
      <c r="B54" s="792" t="str">
        <f>КАФЕДРА!$D54</f>
        <v>ОЗДОРОВЬЯ</v>
      </c>
      <c r="C54" s="960">
        <f>IF(LEN(КАФЕДРА!$A54)&gt;2,КАФЕДРА!C54,0)</f>
        <v>0</v>
      </c>
      <c r="D54" s="867">
        <f t="shared" si="2"/>
        <v>0</v>
      </c>
      <c r="E54" s="1927"/>
      <c r="F54" s="1819"/>
      <c r="G54" s="1819"/>
      <c r="H54" s="1814"/>
      <c r="I54" s="1927"/>
      <c r="J54" s="1827"/>
      <c r="K54" s="1827"/>
      <c r="L54" s="1828"/>
      <c r="M54" s="1229"/>
      <c r="N54" s="869"/>
      <c r="O54" s="869"/>
      <c r="P54" s="1255"/>
      <c r="Q54" s="721" t="str">
        <f t="array" ref="Q54">IF(D54&lt;&gt;0,SUM(($I54:$P54)*($I$12:$P$12=Q$12))/D54*100,нет)</f>
        <v>нет</v>
      </c>
      <c r="R54" s="721">
        <f t="array" ref="R54">SUM(($I54:$P54)*($I$12:$P$12=R$12)*($I$11:$P$11))</f>
        <v>0</v>
      </c>
      <c r="S54" s="721">
        <f t="array" ref="S54">SUM(($I54:$P54)*($I$12:$P$12=S$12)*($I$11:$P$11))</f>
        <v>0</v>
      </c>
    </row>
    <row r="55" spans="1:19" x14ac:dyDescent="0.2">
      <c r="A55" s="551" t="str">
        <f>IF(LEN(КАФЕДРА!A55)&gt;2,КАФЕДРА!A55,"")</f>
        <v>Дерматовенерологии, косметологии и иммунологии</v>
      </c>
      <c r="B55" s="792" t="str">
        <f>КАФЕДРА!$D55</f>
        <v>ОЗДОРОВЬЯ</v>
      </c>
      <c r="C55" s="960">
        <f>IF(LEN(КАФЕДРА!$A55)&gt;2,КАФЕДРА!C55,0)</f>
        <v>0</v>
      </c>
      <c r="D55" s="867">
        <f t="shared" si="2"/>
        <v>0</v>
      </c>
      <c r="E55" s="1927"/>
      <c r="F55" s="1819"/>
      <c r="G55" s="1819"/>
      <c r="H55" s="1814"/>
      <c r="I55" s="1927"/>
      <c r="J55" s="1827"/>
      <c r="K55" s="1827"/>
      <c r="L55" s="1828"/>
      <c r="M55" s="1229"/>
      <c r="N55" s="869"/>
      <c r="O55" s="869"/>
      <c r="P55" s="1255"/>
      <c r="Q55" s="721" t="str">
        <f t="array" ref="Q55">IF(D55&lt;&gt;0,SUM(($I55:$P55)*($I$12:$P$12=Q$12))/D55*100,нет)</f>
        <v>нет</v>
      </c>
      <c r="R55" s="721">
        <f t="array" ref="R55">SUM(($I55:$P55)*($I$12:$P$12=R$12)*($I$11:$P$11))</f>
        <v>0</v>
      </c>
      <c r="S55" s="721">
        <f t="array" ref="S55">SUM(($I55:$P55)*($I$12:$P$12=S$12)*($I$11:$P$11))</f>
        <v>0</v>
      </c>
    </row>
    <row r="56" spans="1:19" x14ac:dyDescent="0.2">
      <c r="A56" s="551" t="str">
        <f>IF(LEN(КАФЕДРА!A56)&gt;2,КАФЕДРА!A56,"")</f>
        <v>Инфекционных болезней с курсом ДПО</v>
      </c>
      <c r="B56" s="792" t="str">
        <f>КАФЕДРА!$D56</f>
        <v>ОЗДОРОВЬЯ</v>
      </c>
      <c r="C56" s="960">
        <f>IF(LEN(КАФЕДРА!$A56)&gt;2,КАФЕДРА!C56,0)</f>
        <v>0</v>
      </c>
      <c r="D56" s="867">
        <f t="shared" si="2"/>
        <v>0</v>
      </c>
      <c r="E56" s="1927"/>
      <c r="F56" s="1819"/>
      <c r="G56" s="1819"/>
      <c r="H56" s="1814"/>
      <c r="I56" s="1927"/>
      <c r="J56" s="1827"/>
      <c r="K56" s="1827"/>
      <c r="L56" s="1828"/>
      <c r="M56" s="1229"/>
      <c r="N56" s="869"/>
      <c r="O56" s="869"/>
      <c r="P56" s="1255"/>
      <c r="Q56" s="721" t="str">
        <f t="array" ref="Q56">IF(D56&lt;&gt;0,SUM(($I56:$P56)*($I$12:$P$12=Q$12))/D56*100,нет)</f>
        <v>нет</v>
      </c>
      <c r="R56" s="721">
        <f t="array" ref="R56">SUM(($I56:$P56)*($I$12:$P$12=R$12)*($I$11:$P$11))</f>
        <v>0</v>
      </c>
      <c r="S56" s="721">
        <f t="array" ref="S56">SUM(($I56:$P56)*($I$12:$P$12=S$12)*($I$11:$P$11))</f>
        <v>0</v>
      </c>
    </row>
    <row r="57" spans="1:19" x14ac:dyDescent="0.2">
      <c r="A57" s="551" t="str">
        <f>IF(LEN(КАФЕДРА!A57)&gt;2,КАФЕДРА!A57,"")</f>
        <v>Медицины катастроф и безопасности жизнедеятельности</v>
      </c>
      <c r="B57" s="792" t="str">
        <f>КАФЕДРА!$D57</f>
        <v>ОЗДОРОВЬЯ</v>
      </c>
      <c r="C57" s="960">
        <f>IF(LEN(КАФЕДРА!$A57)&gt;2,КАФЕДРА!C57,0)</f>
        <v>0</v>
      </c>
      <c r="D57" s="867">
        <f t="shared" si="2"/>
        <v>0</v>
      </c>
      <c r="E57" s="1927"/>
      <c r="F57" s="1819"/>
      <c r="G57" s="1819"/>
      <c r="H57" s="1814"/>
      <c r="I57" s="1927"/>
      <c r="J57" s="1827"/>
      <c r="K57" s="1827"/>
      <c r="L57" s="1828"/>
      <c r="M57" s="1229"/>
      <c r="N57" s="869"/>
      <c r="O57" s="869"/>
      <c r="P57" s="1255"/>
      <c r="Q57" s="721" t="str">
        <f t="array" ref="Q57">IF(D57&lt;&gt;0,SUM(($I57:$P57)*($I$12:$P$12=Q$12))/D57*100,нет)</f>
        <v>нет</v>
      </c>
      <c r="R57" s="721">
        <f t="array" ref="R57">SUM(($I57:$P57)*($I$12:$P$12=R$12)*($I$11:$P$11))</f>
        <v>0</v>
      </c>
      <c r="S57" s="721">
        <f t="array" ref="S57">SUM(($I57:$P57)*($I$12:$P$12=S$12)*($I$11:$P$11))</f>
        <v>0</v>
      </c>
    </row>
    <row r="58" spans="1:19" x14ac:dyDescent="0.2">
      <c r="A58" s="551" t="str">
        <f>IF(LEN(КАФЕДРА!A58)&gt;2,КАФЕДРА!A58,"")</f>
        <v>Медицинского права</v>
      </c>
      <c r="B58" s="792" t="str">
        <f>КАФЕДРА!$D58</f>
        <v>ОЗДОРОВЬЯ</v>
      </c>
      <c r="C58" s="960">
        <f>IF(LEN(КАФЕДРА!$A58)&gt;2,КАФЕДРА!C58,0)</f>
        <v>0</v>
      </c>
      <c r="D58" s="867">
        <f t="shared" si="2"/>
        <v>0</v>
      </c>
      <c r="E58" s="1927"/>
      <c r="F58" s="1819"/>
      <c r="G58" s="1819"/>
      <c r="H58" s="1814"/>
      <c r="I58" s="1927"/>
      <c r="J58" s="1827"/>
      <c r="K58" s="1827"/>
      <c r="L58" s="1828"/>
      <c r="M58" s="1229"/>
      <c r="N58" s="869"/>
      <c r="O58" s="869"/>
      <c r="P58" s="1255"/>
      <c r="Q58" s="721" t="str">
        <f t="array" ref="Q58">IF(D58&lt;&gt;0,SUM(($I58:$P58)*($I$12:$P$12=Q$12))/D58*100,нет)</f>
        <v>нет</v>
      </c>
      <c r="R58" s="721">
        <f t="array" ref="R58">SUM(($I58:$P58)*($I$12:$P$12=R$12)*($I$11:$P$11))</f>
        <v>0</v>
      </c>
      <c r="S58" s="721">
        <f t="array" ref="S58">SUM(($I58:$P58)*($I$12:$P$12=S$12)*($I$11:$P$11))</f>
        <v>0</v>
      </c>
    </row>
    <row r="59" spans="1:19" x14ac:dyDescent="0.2">
      <c r="A59" s="551" t="str">
        <f>IF(LEN(КАФЕДРА!A59)&gt;2,КАФЕДРА!A59,"")</f>
        <v>Общественного здоровья и здравоохранения</v>
      </c>
      <c r="B59" s="792" t="str">
        <f>КАФЕДРА!$D59</f>
        <v>ОЗДОРОВЬЯ</v>
      </c>
      <c r="C59" s="960">
        <f>IF(LEN(КАФЕДРА!$A59)&gt;2,КАФЕДРА!C59,0)</f>
        <v>0</v>
      </c>
      <c r="D59" s="867">
        <f t="shared" si="2"/>
        <v>0</v>
      </c>
      <c r="E59" s="1927"/>
      <c r="F59" s="1819"/>
      <c r="G59" s="1819"/>
      <c r="H59" s="1814"/>
      <c r="I59" s="1927"/>
      <c r="J59" s="1827"/>
      <c r="K59" s="1827"/>
      <c r="L59" s="1828"/>
      <c r="M59" s="1229"/>
      <c r="N59" s="869"/>
      <c r="O59" s="869"/>
      <c r="P59" s="1255"/>
      <c r="Q59" s="721" t="str">
        <f t="array" ref="Q59">IF(D59&lt;&gt;0,SUM(($I59:$P59)*($I$12:$P$12=Q$12))/D59*100,нет)</f>
        <v>нет</v>
      </c>
      <c r="R59" s="721">
        <f t="array" ref="R59">SUM(($I59:$P59)*($I$12:$P$12=R$12)*($I$11:$P$11))</f>
        <v>0</v>
      </c>
      <c r="S59" s="721">
        <f t="array" ref="S59">SUM(($I59:$P59)*($I$12:$P$12=S$12)*($I$11:$P$11))</f>
        <v>0</v>
      </c>
    </row>
    <row r="60" spans="1:19" x14ac:dyDescent="0.2">
      <c r="A60" s="551" t="str">
        <f>IF(LEN(КАФЕДРА!A60)&gt;2,КАФЕДРА!A60,"")</f>
        <v>Пульмонологии и фтизиатрии с курсом ДПО</v>
      </c>
      <c r="B60" s="792" t="str">
        <f>КАФЕДРА!$D60</f>
        <v>ОЗДОРОВЬЯ</v>
      </c>
      <c r="C60" s="960">
        <f>IF(LEN(КАФЕДРА!$A60)&gt;2,КАФЕДРА!C60,0)</f>
        <v>0</v>
      </c>
      <c r="D60" s="867">
        <f t="shared" si="2"/>
        <v>0</v>
      </c>
      <c r="E60" s="1927"/>
      <c r="F60" s="1819"/>
      <c r="G60" s="1819"/>
      <c r="H60" s="1814"/>
      <c r="I60" s="1927"/>
      <c r="J60" s="1827"/>
      <c r="K60" s="1827"/>
      <c r="L60" s="1828"/>
      <c r="M60" s="1229"/>
      <c r="N60" s="869"/>
      <c r="O60" s="869"/>
      <c r="P60" s="1255"/>
      <c r="Q60" s="721" t="str">
        <f t="array" ref="Q60">IF(D60&lt;&gt;0,SUM(($I60:$P60)*($I$12:$P$12=Q$12))/D60*100,нет)</f>
        <v>нет</v>
      </c>
      <c r="R60" s="721">
        <f t="array" ref="R60">SUM(($I60:$P60)*($I$12:$P$12=R$12)*($I$11:$P$11))</f>
        <v>0</v>
      </c>
      <c r="S60" s="721">
        <f t="array" ref="S60">SUM(($I60:$P60)*($I$12:$P$12=S$12)*($I$11:$P$11))</f>
        <v>0</v>
      </c>
    </row>
    <row r="61" spans="1:19" x14ac:dyDescent="0.2">
      <c r="A61" s="551" t="str">
        <f>IF(LEN(КАФЕДРА!A61)&gt;2,КАФЕДРА!A61,"")</f>
        <v>Эпидемиологии, микробиологии и вирусологии</v>
      </c>
      <c r="B61" s="792" t="str">
        <f>КАФЕДРА!$D61</f>
        <v>ОЗДОРОВЬЯ</v>
      </c>
      <c r="C61" s="960">
        <f>IF(LEN(КАФЕДРА!$A61)&gt;2,КАФЕДРА!C61,0)</f>
        <v>0</v>
      </c>
      <c r="D61" s="867">
        <f t="shared" si="2"/>
        <v>0</v>
      </c>
      <c r="E61" s="1927"/>
      <c r="F61" s="1819"/>
      <c r="G61" s="1819"/>
      <c r="H61" s="1814"/>
      <c r="I61" s="1927"/>
      <c r="J61" s="1827"/>
      <c r="K61" s="1827"/>
      <c r="L61" s="1828"/>
      <c r="M61" s="1229"/>
      <c r="N61" s="869"/>
      <c r="O61" s="869"/>
      <c r="P61" s="1255">
        <v>46800</v>
      </c>
      <c r="Q61" s="721" t="str">
        <f t="array" ref="Q61">IF(D61&lt;&gt;0,SUM(($I61:$P61)*($I$12:$P$12=Q$12))/D61*100,нет)</f>
        <v>нет</v>
      </c>
      <c r="R61" s="721">
        <f t="array" ref="R61">SUM(($I61:$P61)*($I$12:$P$12=R$12)*($I$11:$P$11))</f>
        <v>0</v>
      </c>
      <c r="S61" s="721">
        <f t="array" ref="S61">SUM(($I61:$P61)*($I$12:$P$12=S$12)*($I$11:$P$11))</f>
        <v>0</v>
      </c>
    </row>
    <row r="62" spans="1:19" ht="15" thickBot="1" x14ac:dyDescent="0.25">
      <c r="A62" s="1247" t="str">
        <f>IF(LEN(КАФЕДРА!A62)&gt;2,КАФЕДРА!A62,"")</f>
        <v>Социально-гуманитарных наук</v>
      </c>
      <c r="B62" s="1267" t="str">
        <f>КАФЕДРА!$D62</f>
        <v>ОЗДОРОВЬЯ</v>
      </c>
      <c r="C62" s="1249">
        <f>IF(LEN(КАФЕДРА!$A62)&gt;2,КАФЕДРА!C62,0)</f>
        <v>0</v>
      </c>
      <c r="D62" s="1250">
        <f t="shared" si="2"/>
        <v>0</v>
      </c>
      <c r="E62" s="1928"/>
      <c r="F62" s="1820"/>
      <c r="G62" s="1820"/>
      <c r="H62" s="1821"/>
      <c r="I62" s="1928"/>
      <c r="J62" s="1829"/>
      <c r="K62" s="1829"/>
      <c r="L62" s="1830"/>
      <c r="M62" s="1251"/>
      <c r="N62" s="1252"/>
      <c r="O62" s="1268"/>
      <c r="P62" s="1266"/>
      <c r="Q62" s="1254" t="str">
        <f t="array" ref="Q62">IF(D62&lt;&gt;0,SUM(($I62:$P62)*($I$12:$P$12=Q$12))/D62*100,нет)</f>
        <v>нет</v>
      </c>
      <c r="R62" s="1254">
        <f t="array" ref="R62">SUM(($I62:$P62)*($I$12:$P$12=R$12)*($I$11:$P$11))</f>
        <v>0</v>
      </c>
      <c r="S62" s="1254">
        <f t="array" ref="S62">SUM(($I62:$P62)*($I$12:$P$12=S$12)*($I$11:$P$11))</f>
        <v>0</v>
      </c>
    </row>
    <row r="63" spans="1:19" s="728" customFormat="1" ht="15" thickBot="1" x14ac:dyDescent="0.25">
      <c r="A63" s="579" t="str">
        <f>IF(LEN(КАФЕДРА!A63)&gt;2,КАФЕДРА!A63,"")</f>
        <v>Сестринского дела</v>
      </c>
      <c r="B63" s="794" t="str">
        <f>КАФЕДРА!$D63</f>
        <v>СПО</v>
      </c>
      <c r="C63" s="580">
        <f>IF(LEN(КАФЕДРА!$A63)&gt;2,КАФЕДРА!C63,0)</f>
        <v>0</v>
      </c>
      <c r="D63" s="581">
        <f t="shared" si="2"/>
        <v>0</v>
      </c>
      <c r="E63" s="1269"/>
      <c r="F63" s="1824"/>
      <c r="G63" s="1824"/>
      <c r="H63" s="1816"/>
      <c r="I63" s="1269"/>
      <c r="J63" s="1833"/>
      <c r="K63" s="1833"/>
      <c r="L63" s="1834"/>
      <c r="M63" s="1269"/>
      <c r="N63" s="1189"/>
      <c r="O63" s="1189"/>
      <c r="P63" s="1270"/>
      <c r="Q63" s="724" t="str">
        <f t="array" ref="Q63">IF(D63&lt;&gt;0,SUM(($I63:$P63)*($I$12:$P$12=Q$12))/D63*100,нет)</f>
        <v>нет</v>
      </c>
      <c r="R63" s="724">
        <f t="array" ref="R63">SUM(($I63:$P63)*($I$12:$P$12=R$12)*($I$11:$P$11))</f>
        <v>0</v>
      </c>
      <c r="S63" s="724">
        <f t="array" ref="S63">SUM(($I63:$P63)*($I$12:$P$12=S$12)*($I$11:$P$11))</f>
        <v>0</v>
      </c>
    </row>
    <row r="64" spans="1:19" s="371" customFormat="1" x14ac:dyDescent="0.2">
      <c r="A64" s="582" t="str">
        <f>IF(LEN(КАФЕДРА!A64)&gt;2,КАФЕДРА!A64,"")</f>
        <v>Биологической химии, клинической лабораторной диагностики</v>
      </c>
      <c r="B64" s="805" t="str">
        <f>КАФЕДРА!$D64</f>
        <v>ФАРМ</v>
      </c>
      <c r="C64" s="370">
        <f>IF(LEN(КАФЕДРА!$A64)&gt;2,КАФЕДРА!C64,0)</f>
        <v>0</v>
      </c>
      <c r="D64" s="1243">
        <f t="shared" si="2"/>
        <v>112500</v>
      </c>
      <c r="E64" s="1244">
        <v>112500</v>
      </c>
      <c r="F64" s="1817"/>
      <c r="G64" s="1817"/>
      <c r="H64" s="1818"/>
      <c r="I64" s="1244">
        <v>112500</v>
      </c>
      <c r="J64" s="1825"/>
      <c r="K64" s="1825"/>
      <c r="L64" s="1826"/>
      <c r="M64" s="1244">
        <v>170300</v>
      </c>
      <c r="N64" s="1178">
        <v>58800</v>
      </c>
      <c r="O64" s="1178">
        <v>24000</v>
      </c>
      <c r="P64" s="1263">
        <v>72000</v>
      </c>
      <c r="Q64" s="1177">
        <f t="array" ref="Q64">IF(D64&lt;&gt;0,SUM(($I64:$P64)*($I$12:$P$12=Q$12))/D64*100,нет)</f>
        <v>100</v>
      </c>
      <c r="R64" s="1177">
        <f t="array" ref="R64">SUM(($I64:$P64)*($I$12:$P$12=R$12)*($I$11:$P$11))</f>
        <v>112500</v>
      </c>
      <c r="S64" s="1177">
        <f t="array" ref="S64">SUM(($I64:$P64)*($I$12:$P$12=S$12)*($I$11:$P$11))</f>
        <v>229100</v>
      </c>
    </row>
    <row r="65" spans="1:37" x14ac:dyDescent="0.2">
      <c r="A65" s="551" t="str">
        <f>IF(LEN(КАФЕДРА!A65)&gt;2,КАФЕДРА!A65,"")</f>
        <v>Химии</v>
      </c>
      <c r="B65" s="797" t="str">
        <f>КАФЕДРА!$D65</f>
        <v>ФАРМ</v>
      </c>
      <c r="C65" s="960">
        <f>IF(LEN(КАФЕДРА!$A65)&gt;2,КАФЕДРА!C65,0)</f>
        <v>0</v>
      </c>
      <c r="D65" s="867">
        <f t="shared" si="2"/>
        <v>559400</v>
      </c>
      <c r="E65" s="1927">
        <v>559400</v>
      </c>
      <c r="F65" s="1819"/>
      <c r="G65" s="1819"/>
      <c r="H65" s="1814"/>
      <c r="I65" s="1927">
        <v>559400</v>
      </c>
      <c r="J65" s="1827"/>
      <c r="K65" s="1827"/>
      <c r="L65" s="1828"/>
      <c r="M65" s="1229">
        <v>285617.58</v>
      </c>
      <c r="N65" s="869">
        <v>213197</v>
      </c>
      <c r="O65" s="869"/>
      <c r="P65" s="1255">
        <v>438300</v>
      </c>
      <c r="Q65" s="721">
        <f t="array" ref="Q65">IF(D65&lt;&gt;0,SUM(($I65:$P65)*($I$12:$P$12=Q$12))/D65*100,нет)</f>
        <v>100</v>
      </c>
      <c r="R65" s="721">
        <f t="array" ref="R65">SUM(($I65:$P65)*($I$12:$P$12=R$12)*($I$11:$P$11))</f>
        <v>559400</v>
      </c>
      <c r="S65" s="721">
        <f t="array" ref="S65">SUM(($I65:$P65)*($I$12:$P$12=S$12)*($I$11:$P$11))</f>
        <v>498814.58</v>
      </c>
    </row>
    <row r="66" spans="1:37" x14ac:dyDescent="0.2">
      <c r="A66" s="551" t="str">
        <f>IF(LEN(КАФЕДРА!A66)&gt;2,КАФЕДРА!A66,"")</f>
        <v>Фармакологии имени профессора В.М. Брюханова</v>
      </c>
      <c r="B66" s="797" t="str">
        <f>КАФЕДРА!$D66</f>
        <v>ФАРМ</v>
      </c>
      <c r="C66" s="960">
        <f>IF(LEN(КАФЕДРА!$A66)&gt;2,КАФЕДРА!C66,0)</f>
        <v>0</v>
      </c>
      <c r="D66" s="867">
        <f t="shared" si="2"/>
        <v>0</v>
      </c>
      <c r="E66" s="1927"/>
      <c r="F66" s="1819"/>
      <c r="G66" s="1819"/>
      <c r="H66" s="1814"/>
      <c r="I66" s="1927"/>
      <c r="J66" s="1827"/>
      <c r="K66" s="1827"/>
      <c r="L66" s="1828"/>
      <c r="M66" s="1229"/>
      <c r="N66" s="869"/>
      <c r="O66" s="869"/>
      <c r="P66" s="1255"/>
      <c r="Q66" s="721" t="str">
        <f t="array" ref="Q66">IF(D66&lt;&gt;0,SUM(($I66:$P66)*($I$12:$P$12=Q$12))/D66*100,нет)</f>
        <v>нет</v>
      </c>
      <c r="R66" s="721">
        <f t="array" ref="R66">SUM(($I66:$P66)*($I$12:$P$12=R$12)*($I$11:$P$11))</f>
        <v>0</v>
      </c>
      <c r="S66" s="721">
        <f t="array" ref="S66">SUM(($I66:$P66)*($I$12:$P$12=S$12)*($I$11:$P$11))</f>
        <v>0</v>
      </c>
    </row>
    <row r="67" spans="1:37" x14ac:dyDescent="0.2">
      <c r="A67" s="551" t="str">
        <f>IF(LEN(КАФЕДРА!A67)&gt;2,КАФЕДРА!A67,"")</f>
        <v>Фармации</v>
      </c>
      <c r="B67" s="797" t="str">
        <f>КАФЕДРА!$D67</f>
        <v>ФАРМ</v>
      </c>
      <c r="C67" s="960">
        <f>IF(LEN(КАФЕДРА!$A67)&gt;2,КАФЕДРА!C67,0)</f>
        <v>0</v>
      </c>
      <c r="D67" s="867">
        <f t="shared" si="2"/>
        <v>0</v>
      </c>
      <c r="E67" s="1927"/>
      <c r="F67" s="1819"/>
      <c r="G67" s="1819"/>
      <c r="H67" s="1814"/>
      <c r="I67" s="1927"/>
      <c r="J67" s="1827"/>
      <c r="K67" s="1827"/>
      <c r="L67" s="1828"/>
      <c r="M67" s="1229"/>
      <c r="N67" s="869"/>
      <c r="O67" s="869">
        <v>14000</v>
      </c>
      <c r="P67" s="1255"/>
      <c r="Q67" s="721" t="str">
        <f t="array" ref="Q67">IF(D67&lt;&gt;0,SUM(($I67:$P67)*($I$12:$P$12=Q$12))/D67*100,нет)</f>
        <v>нет</v>
      </c>
      <c r="R67" s="721">
        <f t="array" ref="R67">SUM(($I67:$P67)*($I$12:$P$12=R$12)*($I$11:$P$11))</f>
        <v>0</v>
      </c>
      <c r="S67" s="721">
        <f t="array" ref="S67">SUM(($I67:$P67)*($I$12:$P$12=S$12)*($I$11:$P$11))</f>
        <v>0</v>
      </c>
    </row>
    <row r="68" spans="1:37" ht="15" thickBot="1" x14ac:dyDescent="0.25">
      <c r="A68" s="1247" t="str">
        <f>IF(LEN(КАФЕДРА!A68)&gt;2,КАФЕДРА!A68,"")</f>
        <v>Физики и информатики</v>
      </c>
      <c r="B68" s="1271" t="str">
        <f>КАФЕДРА!$D68</f>
        <v>ФАРМ</v>
      </c>
      <c r="C68" s="1249">
        <f>IF(LEN(КАФЕДРА!$A68)&gt;2,КАФЕДРА!C68,0)</f>
        <v>0</v>
      </c>
      <c r="D68" s="1250">
        <f t="shared" si="2"/>
        <v>0</v>
      </c>
      <c r="E68" s="1928"/>
      <c r="F68" s="1820"/>
      <c r="G68" s="1820"/>
      <c r="H68" s="1821"/>
      <c r="I68" s="1928"/>
      <c r="J68" s="1829"/>
      <c r="K68" s="1829"/>
      <c r="L68" s="1830"/>
      <c r="M68" s="1251"/>
      <c r="N68" s="1252"/>
      <c r="O68" s="1252"/>
      <c r="P68" s="1266"/>
      <c r="Q68" s="1254" t="str">
        <f t="array" ref="Q68">IF(D68&lt;&gt;0,SUM(($I68:$P68)*($I$12:$P$12=Q$12))/D68*100,нет)</f>
        <v>нет</v>
      </c>
      <c r="R68" s="1254">
        <f t="array" ref="R68">SUM(($I68:$P68)*($I$12:$P$12=R$12)*($I$11:$P$11))</f>
        <v>0</v>
      </c>
      <c r="S68" s="1254">
        <f t="array" ref="S68">SUM(($I68:$P68)*($I$12:$P$12=S$12)*($I$11:$P$11))</f>
        <v>0</v>
      </c>
    </row>
    <row r="69" spans="1:37" s="371" customFormat="1" x14ac:dyDescent="0.2">
      <c r="A69" s="582" t="str">
        <f>IF(LEN(КАФЕДРА!A69)&gt;2,КАФЕДРА!A69,"")</f>
        <v>Клинической психологии</v>
      </c>
      <c r="B69" s="1194" t="str">
        <f>КАФЕДРА!$D69</f>
        <v>КПСИХОЛОГИИ</v>
      </c>
      <c r="C69" s="370">
        <f>IF(LEN(КАФЕДРА!$A69)&gt;2,КАФЕДРА!C69,0)</f>
        <v>0</v>
      </c>
      <c r="D69" s="1243">
        <f t="shared" si="2"/>
        <v>0</v>
      </c>
      <c r="E69" s="1244"/>
      <c r="F69" s="1817"/>
      <c r="G69" s="1817"/>
      <c r="H69" s="1818"/>
      <c r="I69" s="1244"/>
      <c r="J69" s="1825"/>
      <c r="K69" s="1825"/>
      <c r="L69" s="1826"/>
      <c r="M69" s="1244"/>
      <c r="N69" s="1178"/>
      <c r="O69" s="1272"/>
      <c r="P69" s="1263"/>
      <c r="Q69" s="1177" t="str">
        <f t="array" ref="Q69">IF(D69&lt;&gt;0,SUM(($I69:$P69)*($I$12:$P$12=Q$12))/D69*100,нет)</f>
        <v>нет</v>
      </c>
      <c r="R69" s="1177">
        <f t="array" ref="R69">SUM(($I69:$P69)*($I$12:$P$12=R$12)*($I$11:$P$11))</f>
        <v>0</v>
      </c>
      <c r="S69" s="1177">
        <f t="array" ref="S69">SUM(($I69:$P69)*($I$12:$P$12=S$12)*($I$11:$P$11))</f>
        <v>0</v>
      </c>
    </row>
    <row r="70" spans="1:37" x14ac:dyDescent="0.2">
      <c r="A70" s="551" t="str">
        <f>IF(LEN(КАФЕДРА!A70)&gt;2,КАФЕДРА!A70,"")</f>
        <v>Медицинской реабилитологии с курсом ДПО</v>
      </c>
      <c r="B70" s="800" t="str">
        <f>КАФЕДРА!$D70</f>
        <v>КПСИХОЛОГИИ</v>
      </c>
      <c r="C70" s="960">
        <f>IF(LEN(КАФЕДРА!$A70)&gt;2,КАФЕДРА!C70,0)</f>
        <v>0</v>
      </c>
      <c r="D70" s="867">
        <f t="shared" si="2"/>
        <v>0</v>
      </c>
      <c r="E70" s="1927"/>
      <c r="F70" s="1819"/>
      <c r="G70" s="1819"/>
      <c r="H70" s="1814"/>
      <c r="I70" s="1927"/>
      <c r="J70" s="1827"/>
      <c r="K70" s="1827"/>
      <c r="L70" s="1828"/>
      <c r="M70" s="1229"/>
      <c r="N70" s="869"/>
      <c r="O70" s="1264"/>
      <c r="P70" s="1255">
        <v>24000</v>
      </c>
      <c r="Q70" s="721" t="str">
        <f t="array" ref="Q70">IF(D70&lt;&gt;0,SUM(($I70:$P70)*($I$12:$P$12=Q$12))/D70*100,нет)</f>
        <v>нет</v>
      </c>
      <c r="R70" s="721">
        <f t="array" ref="R70">SUM(($I70:$P70)*($I$12:$P$12=R$12)*($I$11:$P$11))</f>
        <v>0</v>
      </c>
      <c r="S70" s="721">
        <f t="array" ref="S70">SUM(($I70:$P70)*($I$12:$P$12=S$12)*($I$11:$P$11))</f>
        <v>0</v>
      </c>
    </row>
    <row r="71" spans="1:37" x14ac:dyDescent="0.2">
      <c r="A71" s="551" t="str">
        <f>IF(LEN(КАФЕДРА!A71)&gt;2,КАФЕДРА!A71,"")</f>
        <v>Психиатрии, медицинской психологии и наркологии с курсом ДПО</v>
      </c>
      <c r="B71" s="800" t="str">
        <f>КАФЕДРА!$D71</f>
        <v>КПСИХОЛОГИИ</v>
      </c>
      <c r="C71" s="960">
        <f>IF(LEN(КАФЕДРА!$A71)&gt;2,КАФЕДРА!C71,0)</f>
        <v>0</v>
      </c>
      <c r="D71" s="867">
        <f t="shared" si="2"/>
        <v>0</v>
      </c>
      <c r="E71" s="1927"/>
      <c r="F71" s="1819"/>
      <c r="G71" s="1819"/>
      <c r="H71" s="1814"/>
      <c r="I71" s="1927"/>
      <c r="J71" s="1827"/>
      <c r="K71" s="1827"/>
      <c r="L71" s="1828"/>
      <c r="M71" s="1229"/>
      <c r="N71" s="869"/>
      <c r="O71" s="869"/>
      <c r="P71" s="1255">
        <v>46800</v>
      </c>
      <c r="Q71" s="721" t="str">
        <f t="array" ref="Q71">IF(D71&lt;&gt;0,SUM(($I71:$P71)*($I$12:$P$12=Q$12))/D71*100,нет)</f>
        <v>нет</v>
      </c>
      <c r="R71" s="721">
        <f t="array" ref="R71">SUM(($I71:$P71)*($I$12:$P$12=R$12)*($I$11:$P$11))</f>
        <v>0</v>
      </c>
      <c r="S71" s="721">
        <f t="array" ref="S71">SUM(($I71:$P71)*($I$12:$P$12=S$12)*($I$11:$P$11))</f>
        <v>0</v>
      </c>
    </row>
    <row r="72" spans="1:37" x14ac:dyDescent="0.2">
      <c r="A72" s="553" t="str">
        <f>IF(LEN(КАФЕДРА!A72)&gt;2,КАФЕДРА!A72,"")</f>
        <v>Философии</v>
      </c>
      <c r="B72" s="1273" t="str">
        <f>КАФЕДРА!$D72</f>
        <v>КПСИХОЛОГИИ</v>
      </c>
      <c r="C72" s="960">
        <f>IF(LEN(КАФЕДРА!$A72)&gt;2,КАФЕДРА!C72,0)</f>
        <v>0</v>
      </c>
      <c r="D72" s="867">
        <f t="shared" si="2"/>
        <v>0</v>
      </c>
      <c r="E72" s="1927"/>
      <c r="F72" s="1819"/>
      <c r="G72" s="1819"/>
      <c r="H72" s="1814"/>
      <c r="I72" s="1927"/>
      <c r="J72" s="1827"/>
      <c r="K72" s="1827"/>
      <c r="L72" s="1828"/>
      <c r="M72" s="1229"/>
      <c r="N72" s="869"/>
      <c r="O72" s="1264"/>
      <c r="P72" s="1255"/>
      <c r="Q72" s="958" t="str">
        <f t="array" ref="Q72">IF(D72&lt;&gt;0,SUM(($I72:$P72)*($I$12:$P$12=Q$12))/D72*100,нет)</f>
        <v>нет</v>
      </c>
      <c r="R72" s="958">
        <f t="array" ref="R72">SUM(($I72:$P72)*($I$12:$P$12=R$12)*($I$11:$P$11))</f>
        <v>0</v>
      </c>
      <c r="S72" s="958">
        <f t="array" ref="S72">SUM(($I72:$P72)*($I$12:$P$12=S$12)*($I$11:$P$11))</f>
        <v>0</v>
      </c>
    </row>
    <row r="73" spans="1:37" s="767" customFormat="1" ht="15" thickBot="1" x14ac:dyDescent="0.25">
      <c r="A73" s="1247" t="str">
        <f>IF(LEN(КАФЕДРА!A73)&gt;2,КАФЕДРА!A73,"")</f>
        <v>Истории</v>
      </c>
      <c r="B73" s="1274" t="str">
        <f>КАФЕДРА!$D73</f>
        <v>КПСИХОЛОГИИ</v>
      </c>
      <c r="C73" s="1208">
        <f>IF(LEN(КАФЕДРА!$A73)&gt;2,КАФЕДРА!C73,0)</f>
        <v>0</v>
      </c>
      <c r="D73" s="1258">
        <f t="shared" ref="D73" si="4">SUM(E73:H73)</f>
        <v>0</v>
      </c>
      <c r="E73" s="1259"/>
      <c r="F73" s="1822"/>
      <c r="G73" s="1822"/>
      <c r="H73" s="1823"/>
      <c r="I73" s="1259"/>
      <c r="J73" s="1831"/>
      <c r="K73" s="1831"/>
      <c r="L73" s="1832"/>
      <c r="M73" s="1259"/>
      <c r="N73" s="1260"/>
      <c r="O73" s="1275"/>
      <c r="P73" s="1261"/>
      <c r="Q73" s="1175" t="str">
        <f t="array" ref="Q73">IF(D73&lt;&gt;0,SUM(($I73:$P73)*($I$12:$P$12=Q$12))/D73*100,нет)</f>
        <v>нет</v>
      </c>
      <c r="R73" s="1175">
        <f t="array" ref="R73">SUM(($I73:$P73)*($I$12:$P$12=R$12)*($I$11:$P$11))</f>
        <v>0</v>
      </c>
      <c r="S73" s="1175">
        <f t="array" ref="S73">SUM(($I73:$P73)*($I$12:$P$12=S$12)*($I$11:$P$11))</f>
        <v>0</v>
      </c>
    </row>
    <row r="74" spans="1:37" s="371" customFormat="1" x14ac:dyDescent="0.2">
      <c r="A74" s="582" t="str">
        <f>IF(LEN(КАФЕДРА!A74)&gt;2,КАФЕДРА!A74,"")</f>
        <v>Иностранных языков с курсом латинского языка</v>
      </c>
      <c r="B74" s="804" t="str">
        <f>КАФЕДРА!$D74</f>
        <v>ФИС</v>
      </c>
      <c r="C74" s="370">
        <f>IF(LEN(КАФЕДРА!$A74)&gt;2,КАФЕДРА!C74,0)</f>
        <v>0</v>
      </c>
      <c r="D74" s="1243">
        <f t="shared" si="2"/>
        <v>195800</v>
      </c>
      <c r="E74" s="1244">
        <v>195800</v>
      </c>
      <c r="F74" s="1817"/>
      <c r="G74" s="1817"/>
      <c r="H74" s="1818"/>
      <c r="I74" s="1244">
        <v>195800</v>
      </c>
      <c r="J74" s="1825"/>
      <c r="K74" s="1825"/>
      <c r="L74" s="1826"/>
      <c r="M74" s="1244">
        <v>154350</v>
      </c>
      <c r="N74" s="1178">
        <v>98150</v>
      </c>
      <c r="O74" s="1178"/>
      <c r="P74" s="1263"/>
      <c r="Q74" s="1177">
        <f t="array" ref="Q74">IF(D74&lt;&gt;0,SUM(($I74:$P74)*($I$12:$P$12=Q$12))/D74*100,нет)</f>
        <v>100</v>
      </c>
      <c r="R74" s="1177">
        <f t="array" ref="R74">SUM(($I74:$P74)*($I$12:$P$12=R$12)*($I$11:$P$11))</f>
        <v>195800</v>
      </c>
      <c r="S74" s="1177">
        <f t="array" ref="S74">SUM(($I74:$P74)*($I$12:$P$12=S$12)*($I$11:$P$11))</f>
        <v>252500</v>
      </c>
    </row>
    <row r="75" spans="1:37" ht="15" thickBot="1" x14ac:dyDescent="0.25">
      <c r="A75" s="1247" t="str">
        <f>IF(LEN(КАФЕДРА!A75)&gt;2,КАФЕДРА!A75,"")</f>
        <v>Русского языка как иностранного</v>
      </c>
      <c r="B75" s="1276" t="str">
        <f>КАФЕДРА!$D75</f>
        <v>ФИС</v>
      </c>
      <c r="C75" s="1249">
        <f>IF(LEN(КАФЕДРА!$A75)&gt;2,КАФЕДРА!C75,0)</f>
        <v>0</v>
      </c>
      <c r="D75" s="771">
        <f t="shared" si="2"/>
        <v>28800</v>
      </c>
      <c r="E75" s="1928">
        <v>28800</v>
      </c>
      <c r="F75" s="1820"/>
      <c r="G75" s="1820"/>
      <c r="H75" s="1821"/>
      <c r="I75" s="1928">
        <v>28800</v>
      </c>
      <c r="J75" s="1829"/>
      <c r="K75" s="1829"/>
      <c r="L75" s="1830"/>
      <c r="M75" s="1251">
        <v>36300</v>
      </c>
      <c r="N75" s="1252">
        <v>23100</v>
      </c>
      <c r="O75" s="1252"/>
      <c r="P75" s="1266">
        <v>26400</v>
      </c>
      <c r="Q75" s="1175">
        <f t="array" ref="Q75">IF(D75&lt;&gt;0,SUM(($I75:$P75)*($I$12:$P$12=Q$12))/D75*100,нет)</f>
        <v>100</v>
      </c>
      <c r="R75" s="1175">
        <f t="array" ref="R75">SUM(($I75:$P75)*($I$12:$P$12=R$12)*($I$11:$P$11))</f>
        <v>28800</v>
      </c>
      <c r="S75" s="1175">
        <f t="array" ref="S75">SUM(($I75:$P75)*($I$12:$P$12=S$12)*($I$11:$P$11))</f>
        <v>59400</v>
      </c>
      <c r="T75" s="372"/>
      <c r="U75" s="372"/>
      <c r="V75" s="372"/>
      <c r="W75" s="372"/>
      <c r="X75" s="372"/>
      <c r="Y75" s="372"/>
      <c r="Z75" s="372"/>
      <c r="AA75" s="372"/>
      <c r="AB75" s="372"/>
      <c r="AC75" s="372"/>
      <c r="AD75" s="372"/>
      <c r="AE75" s="372"/>
      <c r="AF75" s="372"/>
      <c r="AG75" s="372"/>
      <c r="AH75" s="372"/>
      <c r="AI75" s="372"/>
      <c r="AJ75" s="372"/>
      <c r="AK75" s="372"/>
    </row>
    <row r="76" spans="1:37" s="371" customFormat="1" x14ac:dyDescent="0.2">
      <c r="A76" s="1203" t="s">
        <v>501</v>
      </c>
      <c r="B76" s="1277" t="str">
        <f>КАФЕДРА!$D76</f>
        <v>ОиДПО</v>
      </c>
      <c r="C76" s="370">
        <f>IF(LEN(КАФЕДРА!$A77)&gt;2,КАФЕДРА!C76,0)</f>
        <v>0</v>
      </c>
      <c r="D76" s="1258">
        <f t="shared" si="2"/>
        <v>0</v>
      </c>
      <c r="E76" s="1244"/>
      <c r="F76" s="1817"/>
      <c r="G76" s="1817"/>
      <c r="H76" s="1818"/>
      <c r="I76" s="1244"/>
      <c r="J76" s="1825"/>
      <c r="K76" s="1825"/>
      <c r="L76" s="1826"/>
      <c r="M76" s="1244"/>
      <c r="N76" s="1178"/>
      <c r="O76" s="1178"/>
      <c r="P76" s="1263"/>
      <c r="Q76" s="1177" t="str">
        <f t="array" ref="Q76">IF(D76&lt;&gt;0,SUM(($I76:$P76)*($I$12:$P$12=Q$12))/D76*100,нет)</f>
        <v>нет</v>
      </c>
      <c r="R76" s="1177">
        <f t="array" ref="R76">SUM(($I76:$P76)*($I$12:$P$12=R$12)*($I$11:$P$11))</f>
        <v>0</v>
      </c>
      <c r="S76" s="1177">
        <f t="array" ref="S76">SUM(($I76:$P76)*($I$12:$P$12=S$12)*($I$11:$P$11))</f>
        <v>0</v>
      </c>
    </row>
    <row r="77" spans="1:37" ht="15" thickBot="1" x14ac:dyDescent="0.25">
      <c r="A77" s="1199" t="s">
        <v>502</v>
      </c>
      <c r="B77" s="1168" t="str">
        <f>КАФЕДРА!$D77</f>
        <v>ОиДПО</v>
      </c>
      <c r="C77" s="1174">
        <f>IF(LEN(КАФЕДРА!$A78)&gt;2,КАФЕДРА!C77,0)</f>
        <v>0</v>
      </c>
      <c r="D77" s="1250">
        <f t="shared" si="2"/>
        <v>0</v>
      </c>
      <c r="E77" s="1928"/>
      <c r="F77" s="1822"/>
      <c r="G77" s="1822"/>
      <c r="H77" s="1815"/>
      <c r="I77" s="1928"/>
      <c r="J77" s="1831"/>
      <c r="K77" s="1831"/>
      <c r="L77" s="1830"/>
      <c r="M77" s="1251"/>
      <c r="N77" s="1252"/>
      <c r="O77" s="1252"/>
      <c r="P77" s="1266"/>
      <c r="Q77" s="1175" t="str">
        <f t="array" ref="Q77">IF(D77&lt;&gt;0,SUM(($I77:$P77)*($I$12:$P$12=Q$12))/D77*100,нет)</f>
        <v>нет</v>
      </c>
      <c r="R77" s="1175">
        <f t="array" ref="R77">SUM(($I77:$P77)*($I$12:$P$12=R$12)*($I$11:$P$11))</f>
        <v>0</v>
      </c>
      <c r="S77" s="1175">
        <f t="array" ref="S77">SUM(($I77:$P77)*($I$12:$P$12=S$12)*($I$11:$P$11))</f>
        <v>0</v>
      </c>
    </row>
    <row r="78" spans="1:37" s="371" customFormat="1" x14ac:dyDescent="0.2"/>
  </sheetData>
  <mergeCells count="5">
    <mergeCell ref="R9:S9"/>
    <mergeCell ref="D8:H9"/>
    <mergeCell ref="I8:P8"/>
    <mergeCell ref="I9:L9"/>
    <mergeCell ref="M9:P9"/>
  </mergeCells>
  <conditionalFormatting sqref="M20:P25 M29:P31 M27:P27 M40:P40 M34:P37 M42:P44 M59:P71 M46:P57">
    <cfRule type="cellIs" dxfId="135" priority="203" operator="equal">
      <formula>0</formula>
    </cfRule>
  </conditionalFormatting>
  <conditionalFormatting sqref="M74:P75">
    <cfRule type="cellIs" dxfId="134" priority="202" operator="equal">
      <formula>0</formula>
    </cfRule>
  </conditionalFormatting>
  <conditionalFormatting sqref="M26:P26">
    <cfRule type="cellIs" dxfId="133" priority="200" operator="equal">
      <formula>0</formula>
    </cfRule>
  </conditionalFormatting>
  <conditionalFormatting sqref="M28:P28">
    <cfRule type="cellIs" dxfId="132" priority="198" operator="equal">
      <formula>0</formula>
    </cfRule>
  </conditionalFormatting>
  <conditionalFormatting sqref="M32:P32">
    <cfRule type="cellIs" dxfId="131" priority="196" operator="equal">
      <formula>0</formula>
    </cfRule>
  </conditionalFormatting>
  <conditionalFormatting sqref="M38:P38">
    <cfRule type="cellIs" dxfId="130" priority="195" operator="equal">
      <formula>0</formula>
    </cfRule>
  </conditionalFormatting>
  <conditionalFormatting sqref="M33:P33">
    <cfRule type="cellIs" dxfId="129" priority="194" operator="equal">
      <formula>0</formula>
    </cfRule>
  </conditionalFormatting>
  <conditionalFormatting sqref="M41:P41">
    <cfRule type="cellIs" dxfId="128" priority="193" operator="equal">
      <formula>0</formula>
    </cfRule>
  </conditionalFormatting>
  <conditionalFormatting sqref="M45:P45">
    <cfRule type="cellIs" dxfId="127" priority="192" operator="equal">
      <formula>0</formula>
    </cfRule>
  </conditionalFormatting>
  <conditionalFormatting sqref="M39:P39">
    <cfRule type="cellIs" dxfId="126" priority="190" operator="equal">
      <formula>0</formula>
    </cfRule>
  </conditionalFormatting>
  <conditionalFormatting sqref="M58:P58">
    <cfRule type="cellIs" dxfId="125" priority="189" operator="equal">
      <formula>0</formula>
    </cfRule>
  </conditionalFormatting>
  <conditionalFormatting sqref="M72:P73">
    <cfRule type="cellIs" dxfId="124" priority="188" operator="equal">
      <formula>0</formula>
    </cfRule>
  </conditionalFormatting>
  <conditionalFormatting sqref="M76:P77">
    <cfRule type="cellIs" dxfId="123" priority="125" operator="equal">
      <formula>0</formula>
    </cfRule>
  </conditionalFormatting>
  <hyperlinks>
    <hyperlink ref="A6" location="КАФЕДРА!R21C145" display="← на общую страницу"/>
    <hyperlink ref="I5" location="КАФЕДРА!R21C145" display="← на общую страницу"/>
  </hyperlinks>
  <pageMargins left="0.23622047244094491" right="0.23622047244094491" top="0.55118110236220474" bottom="0.35433070866141736" header="0.31496062992125984" footer="0.31496062992125984"/>
  <pageSetup paperSize="9" scale="60" orientation="landscape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7">
    <tabColor rgb="FF92D050"/>
  </sheetPr>
  <dimension ref="A1:AJ78"/>
  <sheetViews>
    <sheetView topLeftCell="A4" zoomScale="80" zoomScaleNormal="80" workbookViewId="0">
      <selection activeCell="H22" sqref="H22"/>
    </sheetView>
  </sheetViews>
  <sheetFormatPr defaultColWidth="9.140625" defaultRowHeight="14.25" x14ac:dyDescent="0.2"/>
  <cols>
    <col min="1" max="1" width="50.7109375" style="182" customWidth="1"/>
    <col min="2" max="2" width="16.28515625" style="182" customWidth="1"/>
    <col min="3" max="3" width="8" style="182" customWidth="1"/>
    <col min="4" max="4" width="16.42578125" style="182" hidden="1" customWidth="1"/>
    <col min="5" max="5" width="17.140625" style="182" hidden="1" customWidth="1"/>
    <col min="6" max="6" width="26.42578125" style="182" customWidth="1"/>
    <col min="7" max="7" width="22.5703125" style="182" customWidth="1"/>
    <col min="8" max="8" width="20.28515625" style="182" customWidth="1"/>
    <col min="9" max="10" width="14.7109375" style="767" customWidth="1"/>
    <col min="11" max="11" width="20.28515625" style="767" hidden="1" customWidth="1"/>
    <col min="12" max="13" width="18.28515625" style="767" hidden="1" customWidth="1"/>
    <col min="14" max="14" width="7.42578125" style="182" customWidth="1"/>
    <col min="15" max="16384" width="9.140625" style="182"/>
  </cols>
  <sheetData>
    <row r="1" spans="1:13" ht="19.5" hidden="1" x14ac:dyDescent="0.25">
      <c r="A1" s="179" t="str">
        <f>IF(LEN(КАФЕДРА!A1)&gt;2,КАФЕДРА!A1,"")</f>
        <v>Факультет:</v>
      </c>
      <c r="B1" s="179" t="str">
        <f>IF(LEN(КАФЕДРА!B1)&gt;2,КАФЕДРА!B1,"")</f>
        <v xml:space="preserve">Впишите название факультет </v>
      </c>
      <c r="C1" s="179"/>
      <c r="D1" s="180" t="s">
        <v>144</v>
      </c>
      <c r="E1" s="180" t="s">
        <v>144</v>
      </c>
      <c r="F1" s="182" t="s">
        <v>261</v>
      </c>
      <c r="G1" s="182" t="s">
        <v>259</v>
      </c>
      <c r="H1" s="182" t="s">
        <v>260</v>
      </c>
    </row>
    <row r="2" spans="1:13" hidden="1" x14ac:dyDescent="0.2">
      <c r="A2" s="179" t="str">
        <f>IF(LEN(КАФЕДРА!A2)&gt;2,КАФЕДРА!A2,"")</f>
        <v>Кафедра:</v>
      </c>
      <c r="B2" s="179" t="str">
        <f>IF(LEN(КАФЕДРА!B2)&gt;2,КАФЕДРА!B2,"")</f>
        <v>Кафедра Впишите название</v>
      </c>
      <c r="C2" s="179"/>
      <c r="G2" s="182">
        <v>2</v>
      </c>
      <c r="H2" s="182">
        <v>4</v>
      </c>
    </row>
    <row r="3" spans="1:13" hidden="1" x14ac:dyDescent="0.2">
      <c r="F3" s="872">
        <v>51500</v>
      </c>
      <c r="G3" s="872">
        <v>25800</v>
      </c>
      <c r="H3" s="872"/>
      <c r="I3" s="872"/>
      <c r="J3" s="872"/>
      <c r="K3" s="872"/>
    </row>
    <row r="4" spans="1:13" s="293" customFormat="1" x14ac:dyDescent="0.2">
      <c r="F4" s="1170"/>
      <c r="G4" s="1170"/>
      <c r="H4" s="1170"/>
      <c r="I4" s="1170"/>
      <c r="J4" s="1170"/>
      <c r="K4" s="1170"/>
    </row>
    <row r="5" spans="1:13" ht="22.5" x14ac:dyDescent="0.3">
      <c r="A5" s="209" t="s">
        <v>263</v>
      </c>
      <c r="F5" s="872"/>
      <c r="G5" s="872"/>
      <c r="H5" s="872"/>
      <c r="I5" s="872"/>
      <c r="J5" s="872"/>
      <c r="K5" s="872"/>
    </row>
    <row r="6" spans="1:13" ht="17.25" customHeight="1" x14ac:dyDescent="0.2">
      <c r="A6" s="183" t="s">
        <v>76</v>
      </c>
      <c r="F6" s="872"/>
      <c r="G6" s="872"/>
      <c r="H6" s="872"/>
      <c r="I6" s="872"/>
      <c r="J6" s="872"/>
      <c r="K6" s="872"/>
    </row>
    <row r="7" spans="1:13" ht="15" x14ac:dyDescent="0.25">
      <c r="A7" s="477" t="s">
        <v>242</v>
      </c>
      <c r="F7" s="872"/>
      <c r="G7" s="872"/>
      <c r="H7" s="872"/>
      <c r="I7" s="872"/>
      <c r="J7" s="872"/>
      <c r="K7" s="1779"/>
    </row>
    <row r="8" spans="1:13" ht="15" x14ac:dyDescent="0.2">
      <c r="A8" s="444">
        <f ca="1">NOW()</f>
        <v>45929.466219097223</v>
      </c>
      <c r="B8" s="215"/>
      <c r="C8" s="215"/>
      <c r="D8" s="215"/>
      <c r="E8" s="215"/>
      <c r="F8" s="2304" t="s">
        <v>541</v>
      </c>
      <c r="G8" s="2300"/>
      <c r="H8" s="2303"/>
      <c r="I8" s="2308"/>
      <c r="J8" s="2308"/>
      <c r="K8" s="1780"/>
      <c r="L8" s="2300"/>
      <c r="M8" s="2301"/>
    </row>
    <row r="9" spans="1:13" ht="80.099999999999994" customHeight="1" x14ac:dyDescent="0.2">
      <c r="A9" s="387" t="str">
        <f>ТИТУЛ!$B$22&amp;" квартал "&amp;ТИТУЛ!$D$22&amp;" года"</f>
        <v>2 квартал 2024 года</v>
      </c>
      <c r="B9" s="215"/>
      <c r="C9" s="215"/>
      <c r="D9" s="215"/>
      <c r="E9" s="215"/>
      <c r="F9" s="2305"/>
      <c r="G9" s="2274" t="s">
        <v>519</v>
      </c>
      <c r="H9" s="2302"/>
      <c r="I9" s="2306" t="s">
        <v>679</v>
      </c>
      <c r="J9" s="2307"/>
      <c r="K9" s="2037" t="s">
        <v>678</v>
      </c>
      <c r="L9" s="2298" t="s">
        <v>258</v>
      </c>
      <c r="M9" s="2299"/>
    </row>
    <row r="10" spans="1:13" ht="13.5" hidden="1" customHeight="1" x14ac:dyDescent="0.2">
      <c r="A10" s="213" t="s">
        <v>250</v>
      </c>
      <c r="B10" s="1164"/>
      <c r="C10" s="1164"/>
      <c r="D10" s="1164"/>
      <c r="E10" s="1164"/>
      <c r="F10" s="1164"/>
      <c r="G10" s="2024"/>
      <c r="H10" s="1771"/>
      <c r="I10" s="1164"/>
      <c r="J10" s="1771"/>
      <c r="K10" s="2038"/>
      <c r="L10" s="2034"/>
      <c r="M10" s="1771"/>
    </row>
    <row r="11" spans="1:13" ht="13.5" hidden="1" customHeight="1" x14ac:dyDescent="0.2">
      <c r="A11" s="213" t="s">
        <v>208</v>
      </c>
      <c r="B11" s="1164"/>
      <c r="C11" s="1164"/>
      <c r="D11" s="1164"/>
      <c r="E11" s="1164"/>
      <c r="F11" s="1165"/>
      <c r="G11" s="2025">
        <f>IF(ТИТУЛ!$B$22&gt;=G$2,1,0)</f>
        <v>1</v>
      </c>
      <c r="H11" s="1772">
        <f>IF(ТИТУЛ!$B$22&gt;=H$2,1,0)</f>
        <v>0</v>
      </c>
      <c r="I11" s="1165"/>
      <c r="J11" s="1772"/>
      <c r="K11" s="2039"/>
      <c r="L11" s="2035"/>
      <c r="M11" s="1772"/>
    </row>
    <row r="12" spans="1:13" ht="15.75" hidden="1" customHeight="1" x14ac:dyDescent="0.2">
      <c r="A12" s="961"/>
      <c r="B12" s="961"/>
      <c r="C12" s="961"/>
      <c r="D12" s="961"/>
      <c r="E12" s="316"/>
      <c r="F12" s="961" t="s">
        <v>261</v>
      </c>
      <c r="G12" s="2026" t="s">
        <v>261</v>
      </c>
      <c r="H12" s="1773" t="s">
        <v>261</v>
      </c>
      <c r="I12" s="961"/>
      <c r="J12" s="1773"/>
      <c r="K12" s="2040"/>
      <c r="L12" s="2036"/>
      <c r="M12" s="1773"/>
    </row>
    <row r="13" spans="1:13" ht="176.25" customHeight="1" thickBot="1" x14ac:dyDescent="0.25">
      <c r="A13" s="191" t="str">
        <f>КАФЕДРА!A10</f>
        <v>Наименование кафедры</v>
      </c>
      <c r="B13" s="1219" t="s">
        <v>327</v>
      </c>
      <c r="C13" s="192" t="s">
        <v>320</v>
      </c>
      <c r="D13" s="1171" t="s">
        <v>517</v>
      </c>
      <c r="E13" s="193" t="s">
        <v>518</v>
      </c>
      <c r="F13" s="1781" t="s">
        <v>315</v>
      </c>
      <c r="G13" s="2027" t="s">
        <v>470</v>
      </c>
      <c r="H13" s="2018" t="s">
        <v>471</v>
      </c>
      <c r="I13" s="1768" t="s">
        <v>470</v>
      </c>
      <c r="J13" s="2018" t="s">
        <v>471</v>
      </c>
      <c r="K13" s="2041" t="s">
        <v>6</v>
      </c>
      <c r="L13" s="2049" t="s">
        <v>539</v>
      </c>
      <c r="M13" s="2049" t="s">
        <v>540</v>
      </c>
    </row>
    <row r="14" spans="1:13" ht="15" hidden="1" thickBot="1" x14ac:dyDescent="0.25">
      <c r="A14" s="195"/>
      <c r="B14" s="195"/>
      <c r="C14" s="195"/>
      <c r="D14" s="195"/>
      <c r="E14" s="195"/>
      <c r="F14" s="195"/>
      <c r="G14" s="2028"/>
      <c r="H14" s="768"/>
      <c r="I14" s="195"/>
      <c r="J14" s="195"/>
      <c r="K14" s="195"/>
      <c r="L14" s="768"/>
      <c r="M14" s="768"/>
    </row>
    <row r="15" spans="1:13" ht="15" hidden="1" thickBot="1" x14ac:dyDescent="0.25">
      <c r="A15" s="195"/>
      <c r="B15" s="195"/>
      <c r="C15" s="195"/>
      <c r="D15" s="195"/>
      <c r="E15" s="195"/>
      <c r="F15" s="195"/>
      <c r="G15" s="2028"/>
      <c r="H15" s="768"/>
      <c r="I15" s="195"/>
      <c r="J15" s="195"/>
      <c r="K15" s="195"/>
      <c r="L15" s="768"/>
      <c r="M15" s="768"/>
    </row>
    <row r="16" spans="1:13" ht="15" hidden="1" thickBot="1" x14ac:dyDescent="0.25">
      <c r="A16" s="195"/>
      <c r="B16" s="195"/>
      <c r="C16" s="195"/>
      <c r="D16" s="195"/>
      <c r="E16" s="195"/>
      <c r="F16" s="195"/>
      <c r="G16" s="2028"/>
      <c r="H16" s="768"/>
      <c r="I16" s="195"/>
      <c r="J16" s="195"/>
      <c r="K16" s="195"/>
      <c r="L16" s="768"/>
      <c r="M16" s="768"/>
    </row>
    <row r="17" spans="1:36" ht="15" hidden="1" thickBot="1" x14ac:dyDescent="0.25">
      <c r="A17" s="195"/>
      <c r="B17" s="195"/>
      <c r="C17" s="195"/>
      <c r="D17" s="195"/>
      <c r="E17" s="195"/>
      <c r="F17" s="195"/>
      <c r="G17" s="2028"/>
      <c r="H17" s="768"/>
      <c r="I17" s="195"/>
      <c r="J17" s="195"/>
      <c r="K17" s="195"/>
      <c r="L17" s="768"/>
      <c r="M17" s="768"/>
    </row>
    <row r="18" spans="1:36" ht="6.75" hidden="1" customHeight="1" thickBot="1" x14ac:dyDescent="0.25">
      <c r="A18" s="197"/>
      <c r="B18" s="197"/>
      <c r="C18" s="197"/>
      <c r="D18" s="197"/>
      <c r="E18" s="199"/>
      <c r="F18" s="199"/>
      <c r="G18" s="2029"/>
      <c r="H18" s="769"/>
      <c r="I18" s="197"/>
      <c r="J18" s="197"/>
      <c r="K18" s="197"/>
      <c r="L18" s="769"/>
      <c r="M18" s="769"/>
    </row>
    <row r="19" spans="1:36" ht="15" thickBot="1" x14ac:dyDescent="0.25">
      <c r="A19" s="1186" t="str">
        <f>КАФЕДРА!A19</f>
        <v>сумма по кафедрам (проверочная)</v>
      </c>
      <c r="B19" s="1186"/>
      <c r="C19" s="1187">
        <f>SUM(C$20:C$77)</f>
        <v>0</v>
      </c>
      <c r="D19" s="1187">
        <f t="shared" ref="D19:D50" si="0">IF($C19=0,0,$E19/$C19)</f>
        <v>0</v>
      </c>
      <c r="E19" s="1187">
        <f t="array" ref="E19">SUM(($G19:$H19)*($G$11:$H$11))</f>
        <v>0</v>
      </c>
      <c r="F19" s="2019">
        <f>SUM(F$20:F$77)</f>
        <v>0</v>
      </c>
      <c r="G19" s="1489">
        <f>SUM(G$20:G$77)</f>
        <v>0</v>
      </c>
      <c r="H19" s="1239">
        <f>SUM(H$20:H$77)</f>
        <v>0</v>
      </c>
      <c r="I19" s="1776">
        <f>SUM(I20:I77)</f>
        <v>0</v>
      </c>
      <c r="J19" s="1239">
        <f>SUM(J20:J77)</f>
        <v>0</v>
      </c>
      <c r="K19" s="2042" t="str">
        <f>IF(SUM(I19:J19)&gt;0,100,"нет")</f>
        <v>нет</v>
      </c>
      <c r="L19" s="2042" t="e">
        <f>SUM(L20:L77)/COUNT(L20:L77)</f>
        <v>#DIV/0!</v>
      </c>
      <c r="M19" s="2057" t="e">
        <f>SUM(M20:M77)/COUNT(M20:M77)</f>
        <v>#DIV/0!</v>
      </c>
    </row>
    <row r="20" spans="1:36" x14ac:dyDescent="0.2">
      <c r="A20" s="582" t="str">
        <f>IF(LEN(КАФЕДРА!A20)&gt;2,КАФЕДРА!A20,"")</f>
        <v>Акушерства и гинекологии с курсом ДПО</v>
      </c>
      <c r="B20" s="1185" t="str">
        <f>КАФЕДРА!$D20</f>
        <v>КМЕДИЦИНЫ</v>
      </c>
      <c r="C20" s="370">
        <f>IF(LEN(Кадры!$A20)&gt;2,Кадры!$E20,0)</f>
        <v>0</v>
      </c>
      <c r="D20" s="1177">
        <f t="shared" si="0"/>
        <v>0</v>
      </c>
      <c r="E20" s="1177">
        <f t="array" ref="E20">SUM(($G20:$H20)*($G$11:$H$11))</f>
        <v>0</v>
      </c>
      <c r="F20" s="2020">
        <f>F$3*$C20</f>
        <v>0</v>
      </c>
      <c r="G20" s="2030"/>
      <c r="H20" s="1220"/>
      <c r="I20" s="1775"/>
      <c r="J20" s="684"/>
      <c r="K20" s="2043" t="str">
        <f>IF(SUM(I20:J20)&gt;0,100,"нет")</f>
        <v>нет</v>
      </c>
      <c r="L20" s="2053" t="str">
        <f>IF(F20=0,"нет",IF(D20&gt;=$G$3,100,D20/$G$3*100))</f>
        <v>нет</v>
      </c>
      <c r="M20" s="2053" t="str">
        <f>IF(F20=0,"нет",IF(D20&gt;=$F$3,100,D20/$F$3*100))</f>
        <v>нет</v>
      </c>
      <c r="N20" s="460"/>
      <c r="AJ20" s="262" t="e">
        <f>#REF!</f>
        <v>#REF!</v>
      </c>
    </row>
    <row r="21" spans="1:36" x14ac:dyDescent="0.2">
      <c r="A21" s="551" t="str">
        <f>IF(LEN(КАФЕДРА!A21)&gt;2,КАФЕДРА!A21,"")</f>
        <v>Анатомии</v>
      </c>
      <c r="B21" s="442" t="str">
        <f>КАФЕДРА!$D21</f>
        <v>КМЕДИЦИНЫ</v>
      </c>
      <c r="C21" s="960">
        <f>IF(LEN(Кадры!$A21)&gt;2,Кадры!$E21,0)</f>
        <v>0</v>
      </c>
      <c r="D21" s="721">
        <f t="shared" si="0"/>
        <v>0</v>
      </c>
      <c r="E21" s="721">
        <f t="array" ref="E21">SUM(($G21:$H21)*($G$11:$H$11))</f>
        <v>0</v>
      </c>
      <c r="F21" s="2021">
        <f t="shared" ref="F21:F77" si="1">F$3*$C21</f>
        <v>0</v>
      </c>
      <c r="G21" s="2031"/>
      <c r="H21" s="1221"/>
      <c r="I21" s="1769"/>
      <c r="J21" s="773"/>
      <c r="K21" s="2044" t="str">
        <f t="shared" ref="K21:K77" si="2">IF(SUM(I21:J21)&gt;0,100,"нет")</f>
        <v>нет</v>
      </c>
      <c r="L21" s="2050" t="str">
        <f t="shared" ref="L21:L77" si="3">IF(F21=0,"нет",IF(D21&gt;=$G$3,100,D21/$G$3*100))</f>
        <v>нет</v>
      </c>
      <c r="M21" s="2050" t="str">
        <f t="shared" ref="M21:M77" si="4">IF(F21=0,"нет",IF(D21&gt;=$F$3,100,D21/$F$3*100))</f>
        <v>нет</v>
      </c>
      <c r="N21" s="460"/>
    </row>
    <row r="22" spans="1:36" x14ac:dyDescent="0.2">
      <c r="A22" s="551" t="str">
        <f>IF(LEN(КАФЕДРА!A22)&gt;2,КАФЕДРА!A22,"")</f>
        <v>Анестезиологии и реаниматологии с курсом ДПО</v>
      </c>
      <c r="B22" s="442" t="str">
        <f>КАФЕДРА!$D22</f>
        <v>КМЕДИЦИНЫ</v>
      </c>
      <c r="C22" s="960">
        <f>IF(LEN(Кадры!$A22)&gt;2,Кадры!$E22,0)</f>
        <v>0</v>
      </c>
      <c r="D22" s="721">
        <f t="shared" si="0"/>
        <v>0</v>
      </c>
      <c r="E22" s="721">
        <f t="array" ref="E22">SUM(($G22:$H22)*($G$11:$H$11))</f>
        <v>0</v>
      </c>
      <c r="F22" s="2021">
        <f t="shared" si="1"/>
        <v>0</v>
      </c>
      <c r="G22" s="2031"/>
      <c r="H22" s="1221"/>
      <c r="I22" s="1769"/>
      <c r="J22" s="773"/>
      <c r="K22" s="2044" t="str">
        <f t="shared" si="2"/>
        <v>нет</v>
      </c>
      <c r="L22" s="2050" t="str">
        <f t="shared" si="3"/>
        <v>нет</v>
      </c>
      <c r="M22" s="2050" t="str">
        <f t="shared" si="4"/>
        <v>нет</v>
      </c>
      <c r="N22" s="460"/>
    </row>
    <row r="23" spans="1:36" x14ac:dyDescent="0.2">
      <c r="A23" s="551" t="str">
        <f>IF(LEN(КАФЕДРА!A23)&gt;2,КАФЕДРА!A23,"")</f>
        <v>Госпитальной терапии и эндокринологии</v>
      </c>
      <c r="B23" s="442" t="str">
        <f>КАФЕДРА!$D23</f>
        <v>КМЕДИЦИНЫ</v>
      </c>
      <c r="C23" s="960">
        <f>IF(LEN(Кадры!$A23)&gt;2,Кадры!$E23,0)</f>
        <v>0</v>
      </c>
      <c r="D23" s="721">
        <f t="shared" si="0"/>
        <v>0</v>
      </c>
      <c r="E23" s="721">
        <f t="array" ref="E23">SUM(($G23:$H23)*($G$11:$H$11))</f>
        <v>0</v>
      </c>
      <c r="F23" s="2021">
        <f t="shared" si="1"/>
        <v>0</v>
      </c>
      <c r="G23" s="2031"/>
      <c r="H23" s="1221"/>
      <c r="I23" s="1769"/>
      <c r="J23" s="773"/>
      <c r="K23" s="2044" t="str">
        <f t="shared" si="2"/>
        <v>нет</v>
      </c>
      <c r="L23" s="2050" t="str">
        <f t="shared" si="3"/>
        <v>нет</v>
      </c>
      <c r="M23" s="2050" t="str">
        <f t="shared" si="4"/>
        <v>нет</v>
      </c>
      <c r="N23" s="460"/>
    </row>
    <row r="24" spans="1:36" x14ac:dyDescent="0.2">
      <c r="A24" s="551" t="str">
        <f>IF(LEN(КАФЕДРА!A24)&gt;2,КАФЕДРА!A24,"")</f>
        <v>Госпитальной хирургии</v>
      </c>
      <c r="B24" s="442" t="str">
        <f>КАФЕДРА!$D24</f>
        <v>КМЕДИЦИНЫ</v>
      </c>
      <c r="C24" s="960">
        <f>IF(LEN(Кадры!$A24)&gt;2,Кадры!$E24,0)</f>
        <v>0</v>
      </c>
      <c r="D24" s="721">
        <f t="shared" si="0"/>
        <v>0</v>
      </c>
      <c r="E24" s="721">
        <f t="array" ref="E24">SUM(($G24:$H24)*($G$11:$H$11))</f>
        <v>0</v>
      </c>
      <c r="F24" s="2021">
        <f t="shared" si="1"/>
        <v>0</v>
      </c>
      <c r="G24" s="2031"/>
      <c r="H24" s="1221"/>
      <c r="I24" s="1769"/>
      <c r="J24" s="773"/>
      <c r="K24" s="2044" t="str">
        <f t="shared" si="2"/>
        <v>нет</v>
      </c>
      <c r="L24" s="2050" t="str">
        <f t="shared" si="3"/>
        <v>нет</v>
      </c>
      <c r="M24" s="2050" t="str">
        <f t="shared" si="4"/>
        <v>нет</v>
      </c>
      <c r="N24" s="460"/>
    </row>
    <row r="25" spans="1:36" x14ac:dyDescent="0.2">
      <c r="A25" s="551" t="str">
        <f>IF(LEN(КАФЕДРА!A25)&gt;2,КАФЕДРА!A25,"")</f>
        <v>Неврологии и Нейрохирургии с курсом ДПО</v>
      </c>
      <c r="B25" s="442" t="str">
        <f>КАФЕДРА!$D25</f>
        <v>КМЕДИЦИНЫ</v>
      </c>
      <c r="C25" s="960">
        <f>IF(LEN(Кадры!$A25)&gt;2,Кадры!$E25,0)</f>
        <v>0</v>
      </c>
      <c r="D25" s="721">
        <f t="shared" si="0"/>
        <v>0</v>
      </c>
      <c r="E25" s="721">
        <f t="array" ref="E25">SUM(($G25:$H25)*($G$11:$H$11))</f>
        <v>0</v>
      </c>
      <c r="F25" s="2021">
        <f t="shared" si="1"/>
        <v>0</v>
      </c>
      <c r="G25" s="2031"/>
      <c r="H25" s="1221"/>
      <c r="I25" s="1769"/>
      <c r="J25" s="773"/>
      <c r="K25" s="2044" t="str">
        <f t="shared" si="2"/>
        <v>нет</v>
      </c>
      <c r="L25" s="2050" t="str">
        <f t="shared" si="3"/>
        <v>нет</v>
      </c>
      <c r="M25" s="2050" t="str">
        <f t="shared" si="4"/>
        <v>нет</v>
      </c>
      <c r="N25" s="460"/>
    </row>
    <row r="26" spans="1:36" x14ac:dyDescent="0.2">
      <c r="A26" s="551" t="str">
        <f>IF(LEN(КАФЕДРА!A26)&gt;2,КАФЕДРА!A26,"")</f>
        <v>Нормальной физиологии</v>
      </c>
      <c r="B26" s="442" t="str">
        <f>КАФЕДРА!$D26</f>
        <v>КМЕДИЦИНЫ</v>
      </c>
      <c r="C26" s="960">
        <f>IF(LEN(Кадры!$A26)&gt;2,Кадры!$E26,0)</f>
        <v>0</v>
      </c>
      <c r="D26" s="721">
        <f t="shared" si="0"/>
        <v>0</v>
      </c>
      <c r="E26" s="721">
        <f t="array" ref="E26">SUM(($G26:$H26)*($G$11:$H$11))</f>
        <v>0</v>
      </c>
      <c r="F26" s="2021">
        <f t="shared" si="1"/>
        <v>0</v>
      </c>
      <c r="G26" s="2031"/>
      <c r="H26" s="1221"/>
      <c r="I26" s="1769"/>
      <c r="J26" s="773"/>
      <c r="K26" s="2044" t="str">
        <f t="shared" si="2"/>
        <v>нет</v>
      </c>
      <c r="L26" s="2050" t="str">
        <f t="shared" si="3"/>
        <v>нет</v>
      </c>
      <c r="M26" s="2050" t="str">
        <f t="shared" si="4"/>
        <v>нет</v>
      </c>
      <c r="N26" s="460"/>
    </row>
    <row r="27" spans="1:36" x14ac:dyDescent="0.2">
      <c r="A27" s="551" t="str">
        <f>IF(LEN(КАФЕДРА!A27)&gt;2,КАФЕДРА!A27,"")</f>
        <v>Общей хирургии, оперативной хирургии и топографической анатомии</v>
      </c>
      <c r="B27" s="442" t="str">
        <f>КАФЕДРА!$D27</f>
        <v>КМЕДИЦИНЫ</v>
      </c>
      <c r="C27" s="960">
        <f>IF(LEN(Кадры!$A27)&gt;2,Кадры!$E27,0)</f>
        <v>0</v>
      </c>
      <c r="D27" s="721">
        <f t="shared" si="0"/>
        <v>0</v>
      </c>
      <c r="E27" s="721">
        <f t="array" ref="E27">SUM(($G27:$H27)*($G$11:$H$11))</f>
        <v>0</v>
      </c>
      <c r="F27" s="2021">
        <f t="shared" si="1"/>
        <v>0</v>
      </c>
      <c r="G27" s="2031"/>
      <c r="H27" s="1221"/>
      <c r="I27" s="1769"/>
      <c r="J27" s="773"/>
      <c r="K27" s="2044" t="str">
        <f t="shared" si="2"/>
        <v>нет</v>
      </c>
      <c r="L27" s="2050" t="str">
        <f t="shared" si="3"/>
        <v>нет</v>
      </c>
      <c r="M27" s="2050" t="str">
        <f t="shared" si="4"/>
        <v>нет</v>
      </c>
      <c r="N27" s="460"/>
    </row>
    <row r="28" spans="1:36" x14ac:dyDescent="0.2">
      <c r="A28" s="551" t="str">
        <f>IF(LEN(КАФЕДРА!A28)&gt;2,КАФЕДРА!A28,"")</f>
        <v>Оториноларингологии с курсом ДПО</v>
      </c>
      <c r="B28" s="442" t="str">
        <f>КАФЕДРА!$D28</f>
        <v>КМЕДИЦИНЫ</v>
      </c>
      <c r="C28" s="960">
        <f>IF(LEN(Кадры!$A28)&gt;2,Кадры!$E28,0)</f>
        <v>0</v>
      </c>
      <c r="D28" s="721">
        <f t="shared" si="0"/>
        <v>0</v>
      </c>
      <c r="E28" s="721">
        <f t="array" ref="E28">SUM(($G28:$H28)*($G$11:$H$11))</f>
        <v>0</v>
      </c>
      <c r="F28" s="2021">
        <f t="shared" si="1"/>
        <v>0</v>
      </c>
      <c r="G28" s="2031"/>
      <c r="H28" s="1221"/>
      <c r="I28" s="1769"/>
      <c r="J28" s="773"/>
      <c r="K28" s="2044" t="str">
        <f t="shared" si="2"/>
        <v>нет</v>
      </c>
      <c r="L28" s="2050" t="str">
        <f t="shared" si="3"/>
        <v>нет</v>
      </c>
      <c r="M28" s="2050" t="str">
        <f t="shared" si="4"/>
        <v>нет</v>
      </c>
      <c r="N28" s="460"/>
    </row>
    <row r="29" spans="1:36" x14ac:dyDescent="0.2">
      <c r="A29" s="551" t="str">
        <f>IF(LEN(КАФЕДРА!A29)&gt;2,КАФЕДРА!A29,"")</f>
        <v>Поликлинической терапии</v>
      </c>
      <c r="B29" s="442" t="str">
        <f>КАФЕДРА!$D29</f>
        <v>КМЕДИЦИНЫ</v>
      </c>
      <c r="C29" s="960">
        <f>IF(LEN(Кадры!$A29)&gt;2,Кадры!$E29,0)</f>
        <v>0</v>
      </c>
      <c r="D29" s="721">
        <f t="shared" si="0"/>
        <v>0</v>
      </c>
      <c r="E29" s="721">
        <f t="array" ref="E29">SUM(($G29:$H29)*($G$11:$H$11))</f>
        <v>0</v>
      </c>
      <c r="F29" s="2021">
        <f t="shared" si="1"/>
        <v>0</v>
      </c>
      <c r="G29" s="2031"/>
      <c r="H29" s="1221"/>
      <c r="I29" s="1769"/>
      <c r="J29" s="773"/>
      <c r="K29" s="2044" t="str">
        <f t="shared" si="2"/>
        <v>нет</v>
      </c>
      <c r="L29" s="2050" t="str">
        <f t="shared" si="3"/>
        <v>нет</v>
      </c>
      <c r="M29" s="2050" t="str">
        <f t="shared" si="4"/>
        <v>нет</v>
      </c>
      <c r="N29" s="460"/>
    </row>
    <row r="30" spans="1:36" x14ac:dyDescent="0.2">
      <c r="A30" s="551" t="str">
        <f>IF(LEN(КАФЕДРА!A30)&gt;2,КАФЕДРА!A30,"")</f>
        <v>Пропедевтики внутренних болезней имени профессора З.С. Баркагана</v>
      </c>
      <c r="B30" s="442" t="str">
        <f>КАФЕДРА!$D30</f>
        <v>КМЕДИЦИНЫ</v>
      </c>
      <c r="C30" s="960">
        <f>IF(LEN(Кадры!$A30)&gt;2,Кадры!$E30,0)</f>
        <v>0</v>
      </c>
      <c r="D30" s="721">
        <f t="shared" si="0"/>
        <v>0</v>
      </c>
      <c r="E30" s="721">
        <f t="array" ref="E30">SUM(($G30:$H30)*($G$11:$H$11))</f>
        <v>0</v>
      </c>
      <c r="F30" s="2021">
        <f t="shared" si="1"/>
        <v>0</v>
      </c>
      <c r="G30" s="2031"/>
      <c r="H30" s="1221"/>
      <c r="I30" s="1769"/>
      <c r="J30" s="773"/>
      <c r="K30" s="2044" t="str">
        <f t="shared" si="2"/>
        <v>нет</v>
      </c>
      <c r="L30" s="2050" t="str">
        <f t="shared" si="3"/>
        <v>нет</v>
      </c>
      <c r="M30" s="2050" t="str">
        <f t="shared" si="4"/>
        <v>нет</v>
      </c>
      <c r="N30" s="460"/>
    </row>
    <row r="31" spans="1:36" x14ac:dyDescent="0.2">
      <c r="A31" s="551" t="str">
        <f>IF(LEN(КАФЕДРА!A31)&gt;2,КАФЕДРА!A31,"")</f>
        <v>Терапии и общей врачебной практики с курсом ДПО</v>
      </c>
      <c r="B31" s="442" t="str">
        <f>КАФЕДРА!$D31</f>
        <v>КМЕДИЦИНЫ</v>
      </c>
      <c r="C31" s="960">
        <f>IF(LEN(Кадры!$A31)&gt;2,Кадры!$E31,0)</f>
        <v>0</v>
      </c>
      <c r="D31" s="721">
        <f t="shared" si="0"/>
        <v>0</v>
      </c>
      <c r="E31" s="721">
        <f t="array" ref="E31">SUM(($G31:$H31)*($G$11:$H$11))</f>
        <v>0</v>
      </c>
      <c r="F31" s="2021">
        <f t="shared" si="1"/>
        <v>0</v>
      </c>
      <c r="G31" s="2031"/>
      <c r="H31" s="1221"/>
      <c r="I31" s="1769"/>
      <c r="J31" s="773"/>
      <c r="K31" s="2044" t="str">
        <f t="shared" si="2"/>
        <v>нет</v>
      </c>
      <c r="L31" s="2050" t="str">
        <f t="shared" si="3"/>
        <v>нет</v>
      </c>
      <c r="M31" s="2050" t="str">
        <f t="shared" si="4"/>
        <v>нет</v>
      </c>
      <c r="N31" s="460"/>
    </row>
    <row r="32" spans="1:36" x14ac:dyDescent="0.2">
      <c r="A32" s="551" t="str">
        <f>IF(LEN(КАФЕДРА!A32)&gt;2,КАФЕДРА!A32,"")</f>
        <v>Травматологии и ортопедии</v>
      </c>
      <c r="B32" s="442" t="str">
        <f>КАФЕДРА!$D32</f>
        <v>КМЕДИЦИНЫ</v>
      </c>
      <c r="C32" s="960">
        <f>IF(LEN(Кадры!$A32)&gt;2,Кадры!$E32,0)</f>
        <v>0</v>
      </c>
      <c r="D32" s="721">
        <f t="shared" si="0"/>
        <v>0</v>
      </c>
      <c r="E32" s="721">
        <f t="array" ref="E32">SUM(($G32:$H32)*($G$11:$H$11))</f>
        <v>0</v>
      </c>
      <c r="F32" s="2021">
        <f t="shared" si="1"/>
        <v>0</v>
      </c>
      <c r="G32" s="2031"/>
      <c r="H32" s="1221"/>
      <c r="I32" s="1769"/>
      <c r="J32" s="773"/>
      <c r="K32" s="2044" t="str">
        <f t="shared" si="2"/>
        <v>нет</v>
      </c>
      <c r="L32" s="2050" t="str">
        <f t="shared" si="3"/>
        <v>нет</v>
      </c>
      <c r="M32" s="2050" t="str">
        <f t="shared" si="4"/>
        <v>нет</v>
      </c>
      <c r="N32" s="460"/>
    </row>
    <row r="33" spans="1:14" x14ac:dyDescent="0.2">
      <c r="A33" s="551" t="str">
        <f>IF(LEN(КАФЕДРА!A33)&gt;2,КАФЕДРА!A33,"")</f>
        <v>Ультразвуковой и функциональной диагностики с курсом ДПО</v>
      </c>
      <c r="B33" s="442" t="str">
        <f>КАФЕДРА!$D33</f>
        <v>КМЕДИЦИНЫ</v>
      </c>
      <c r="C33" s="960">
        <f>IF(LEN(Кадры!$A33)&gt;2,Кадры!$E33,0)</f>
        <v>0</v>
      </c>
      <c r="D33" s="721">
        <f t="shared" si="0"/>
        <v>0</v>
      </c>
      <c r="E33" s="721">
        <f t="array" ref="E33">SUM(($G33:$H33)*($G$11:$H$11))</f>
        <v>0</v>
      </c>
      <c r="F33" s="2021">
        <f t="shared" si="1"/>
        <v>0</v>
      </c>
      <c r="G33" s="2031"/>
      <c r="H33" s="1221"/>
      <c r="I33" s="1769"/>
      <c r="J33" s="773"/>
      <c r="K33" s="2044" t="str">
        <f t="shared" si="2"/>
        <v>нет</v>
      </c>
      <c r="L33" s="2050" t="str">
        <f t="shared" si="3"/>
        <v>нет</v>
      </c>
      <c r="M33" s="2050" t="str">
        <f t="shared" si="4"/>
        <v>нет</v>
      </c>
      <c r="N33" s="460"/>
    </row>
    <row r="34" spans="1:14" x14ac:dyDescent="0.2">
      <c r="A34" s="551" t="str">
        <f>IF(LEN(КАФЕДРА!A34)&gt;2,КАФЕДРА!A34,"")</f>
        <v>Урологии и андрологии с курсом ДПО</v>
      </c>
      <c r="B34" s="442" t="str">
        <f>КАФЕДРА!$D34</f>
        <v>КМЕДИЦИНЫ</v>
      </c>
      <c r="C34" s="960">
        <f>IF(LEN(Кадры!$A34)&gt;2,Кадры!$E34,0)</f>
        <v>0</v>
      </c>
      <c r="D34" s="721">
        <f t="shared" si="0"/>
        <v>0</v>
      </c>
      <c r="E34" s="721">
        <f t="array" ref="E34">SUM(($G34:$H34)*($G$11:$H$11))</f>
        <v>0</v>
      </c>
      <c r="F34" s="2021">
        <f t="shared" si="1"/>
        <v>0</v>
      </c>
      <c r="G34" s="2031"/>
      <c r="H34" s="1221"/>
      <c r="I34" s="1769"/>
      <c r="J34" s="773"/>
      <c r="K34" s="2044" t="str">
        <f t="shared" si="2"/>
        <v>нет</v>
      </c>
      <c r="L34" s="2050" t="str">
        <f t="shared" si="3"/>
        <v>нет</v>
      </c>
      <c r="M34" s="2050" t="str">
        <f t="shared" si="4"/>
        <v>нет</v>
      </c>
      <c r="N34" s="460"/>
    </row>
    <row r="35" spans="1:14" x14ac:dyDescent="0.2">
      <c r="A35" s="551" t="str">
        <f>IF(LEN(КАФЕДРА!A35)&gt;2,КАФЕДРА!A35,"")</f>
        <v>Факультетской терапии и профессиональных болезней</v>
      </c>
      <c r="B35" s="442" t="str">
        <f>КАФЕДРА!$D35</f>
        <v>КМЕДИЦИНЫ</v>
      </c>
      <c r="C35" s="960">
        <f>IF(LEN(Кадры!$A35)&gt;2,Кадры!$E35,0)</f>
        <v>0</v>
      </c>
      <c r="D35" s="721">
        <f t="shared" si="0"/>
        <v>0</v>
      </c>
      <c r="E35" s="721">
        <f t="array" ref="E35">SUM(($G35:$H35)*($G$11:$H$11))</f>
        <v>0</v>
      </c>
      <c r="F35" s="2021">
        <f t="shared" si="1"/>
        <v>0</v>
      </c>
      <c r="G35" s="2031"/>
      <c r="H35" s="1221"/>
      <c r="I35" s="1769"/>
      <c r="J35" s="773"/>
      <c r="K35" s="2044" t="str">
        <f t="shared" si="2"/>
        <v>нет</v>
      </c>
      <c r="L35" s="2050" t="str">
        <f t="shared" si="3"/>
        <v>нет</v>
      </c>
      <c r="M35" s="2050" t="str">
        <f t="shared" si="4"/>
        <v>нет</v>
      </c>
      <c r="N35" s="460"/>
    </row>
    <row r="36" spans="1:14" ht="15" thickBot="1" x14ac:dyDescent="0.25">
      <c r="A36" s="1172" t="str">
        <f>IF(LEN(КАФЕДРА!A36)&gt;2,КАФЕДРА!A36,"")</f>
        <v>Факультетской хирургии имени профессора И.И. Неймарка с курсом ДПО</v>
      </c>
      <c r="B36" s="1173" t="str">
        <f>КАФЕДРА!$D36</f>
        <v>КМЕДИЦИНЫ</v>
      </c>
      <c r="C36" s="1174">
        <f>IF(LEN(Кадры!$A36)&gt;2,Кадры!$E36,0)</f>
        <v>0</v>
      </c>
      <c r="D36" s="1175">
        <f t="shared" si="0"/>
        <v>0</v>
      </c>
      <c r="E36" s="1175">
        <f t="array" ref="E36">SUM(($G36:$H36)*($G$11:$H$11))</f>
        <v>0</v>
      </c>
      <c r="F36" s="2022">
        <f t="shared" si="1"/>
        <v>0</v>
      </c>
      <c r="G36" s="2032"/>
      <c r="H36" s="1774"/>
      <c r="I36" s="1770"/>
      <c r="J36" s="1777"/>
      <c r="K36" s="2045" t="str">
        <f t="shared" si="2"/>
        <v>нет</v>
      </c>
      <c r="L36" s="2051" t="str">
        <f t="shared" si="3"/>
        <v>нет</v>
      </c>
      <c r="M36" s="2052" t="str">
        <f t="shared" si="4"/>
        <v>нет</v>
      </c>
      <c r="N36" s="460"/>
    </row>
    <row r="37" spans="1:14" x14ac:dyDescent="0.2">
      <c r="A37" s="582" t="str">
        <f>IF(LEN(КАФЕДРА!A37)&gt;2,КАФЕДРА!A37,"")</f>
        <v>Госпитальной педиатрии с курсом ДПО</v>
      </c>
      <c r="B37" s="1176" t="str">
        <f>КАФЕДРА!$D37</f>
        <v>ПЕДИАТРИИ</v>
      </c>
      <c r="C37" s="370">
        <f>IF(LEN(Кадры!$A37)&gt;2,Кадры!$E37,0)</f>
        <v>0</v>
      </c>
      <c r="D37" s="1177">
        <f t="shared" si="0"/>
        <v>0</v>
      </c>
      <c r="E37" s="1177">
        <f t="array" ref="E37">SUM(($G37:$H37)*($G$11:$H$11))</f>
        <v>0</v>
      </c>
      <c r="F37" s="2020">
        <f t="shared" si="1"/>
        <v>0</v>
      </c>
      <c r="G37" s="1813"/>
      <c r="H37" s="1220"/>
      <c r="I37" s="1492"/>
      <c r="J37" s="684"/>
      <c r="K37" s="2043" t="str">
        <f t="shared" si="2"/>
        <v>нет</v>
      </c>
      <c r="L37" s="2053" t="str">
        <f t="shared" si="3"/>
        <v>нет</v>
      </c>
      <c r="M37" s="2053" t="str">
        <f t="shared" si="4"/>
        <v>нет</v>
      </c>
      <c r="N37" s="460"/>
    </row>
    <row r="38" spans="1:14" x14ac:dyDescent="0.2">
      <c r="A38" s="551" t="str">
        <f>IF(LEN(КАФЕДРА!A38)&gt;2,КАФЕДРА!A38,"")</f>
        <v>Лучевой диагностики и эндоскопии с курсом ДПО</v>
      </c>
      <c r="B38" s="786" t="str">
        <f>КАФЕДРА!$D38</f>
        <v>ПЕДИАТРИИ</v>
      </c>
      <c r="C38" s="960">
        <f>IF(LEN(Кадры!$A38)&gt;2,Кадры!$E38,0)</f>
        <v>0</v>
      </c>
      <c r="D38" s="721">
        <f t="shared" si="0"/>
        <v>0</v>
      </c>
      <c r="E38" s="721">
        <f t="array" ref="E38">SUM(($G38:$H38)*($G$11:$H$11))</f>
        <v>0</v>
      </c>
      <c r="F38" s="2021">
        <f t="shared" si="1"/>
        <v>0</v>
      </c>
      <c r="G38" s="2031"/>
      <c r="H38" s="1221"/>
      <c r="I38" s="1769"/>
      <c r="J38" s="773"/>
      <c r="K38" s="2044" t="str">
        <f t="shared" si="2"/>
        <v>нет</v>
      </c>
      <c r="L38" s="2050" t="str">
        <f t="shared" si="3"/>
        <v>нет</v>
      </c>
      <c r="M38" s="2050" t="str">
        <f t="shared" si="4"/>
        <v>нет</v>
      </c>
      <c r="N38" s="460"/>
    </row>
    <row r="39" spans="1:14" x14ac:dyDescent="0.2">
      <c r="A39" s="551" t="str">
        <f>IF(LEN(КАФЕДРА!A39)&gt;2,КАФЕДРА!A39,"")</f>
        <v>Неонатологии и детской анестезиологии с курсом ДПО</v>
      </c>
      <c r="B39" s="786" t="str">
        <f>КАФЕДРА!$D39</f>
        <v>ПЕДИАТРИИ</v>
      </c>
      <c r="C39" s="960">
        <f>IF(LEN(Кадры!$A39)&gt;2,Кадры!$E39,0)</f>
        <v>0</v>
      </c>
      <c r="D39" s="721">
        <f t="shared" si="0"/>
        <v>0</v>
      </c>
      <c r="E39" s="721">
        <f t="array" ref="E39">SUM(($G39:$H39)*($G$11:$H$11))</f>
        <v>0</v>
      </c>
      <c r="F39" s="2021">
        <f t="shared" si="1"/>
        <v>0</v>
      </c>
      <c r="G39" s="2031"/>
      <c r="H39" s="1221"/>
      <c r="I39" s="1769"/>
      <c r="J39" s="773"/>
      <c r="K39" s="2044" t="str">
        <f t="shared" si="2"/>
        <v>нет</v>
      </c>
      <c r="L39" s="2050" t="str">
        <f t="shared" si="3"/>
        <v>нет</v>
      </c>
      <c r="M39" s="2050" t="str">
        <f t="shared" si="4"/>
        <v>нет</v>
      </c>
      <c r="N39" s="460"/>
    </row>
    <row r="40" spans="1:14" x14ac:dyDescent="0.2">
      <c r="A40" s="551" t="str">
        <f>IF(LEN(КАФЕДРА!A40)&gt;2,КАФЕДРА!A40,"")</f>
        <v>Онкологии, лучевой терапии с курсом ДПО</v>
      </c>
      <c r="B40" s="786" t="str">
        <f>КАФЕДРА!$D40</f>
        <v>ПЕДИАТРИИ</v>
      </c>
      <c r="C40" s="960">
        <f>IF(LEN(Кадры!$A40)&gt;2,Кадры!$E40,0)</f>
        <v>0</v>
      </c>
      <c r="D40" s="721">
        <f t="shared" si="0"/>
        <v>0</v>
      </c>
      <c r="E40" s="721">
        <f t="array" ref="E40">SUM(($G40:$H40)*($G$11:$H$11))</f>
        <v>0</v>
      </c>
      <c r="F40" s="2021">
        <f t="shared" si="1"/>
        <v>0</v>
      </c>
      <c r="G40" s="2031"/>
      <c r="H40" s="1221"/>
      <c r="I40" s="1769"/>
      <c r="J40" s="773"/>
      <c r="K40" s="2044" t="str">
        <f t="shared" si="2"/>
        <v>нет</v>
      </c>
      <c r="L40" s="2050" t="str">
        <f t="shared" si="3"/>
        <v>нет</v>
      </c>
      <c r="M40" s="2050" t="str">
        <f t="shared" si="4"/>
        <v>нет</v>
      </c>
      <c r="N40" s="460"/>
    </row>
    <row r="41" spans="1:14" x14ac:dyDescent="0.2">
      <c r="A41" s="551" t="str">
        <f>IF(LEN(КАФЕДРА!A41)&gt;2,КАФЕДРА!A41,"")</f>
        <v>Офтальмологии с курсом ДПО</v>
      </c>
      <c r="B41" s="786" t="str">
        <f>КАФЕДРА!$D41</f>
        <v>ПЕДИАТРИИ</v>
      </c>
      <c r="C41" s="960">
        <f>IF(LEN(Кадры!$A41)&gt;2,Кадры!$E41,0)</f>
        <v>0</v>
      </c>
      <c r="D41" s="721">
        <f t="shared" si="0"/>
        <v>0</v>
      </c>
      <c r="E41" s="721">
        <f t="array" ref="E41">SUM(($G41:$H41)*($G$11:$H$11))</f>
        <v>0</v>
      </c>
      <c r="F41" s="2021">
        <f t="shared" si="1"/>
        <v>0</v>
      </c>
      <c r="G41" s="2031"/>
      <c r="H41" s="1221"/>
      <c r="I41" s="1769"/>
      <c r="J41" s="773"/>
      <c r="K41" s="2044" t="str">
        <f t="shared" si="2"/>
        <v>нет</v>
      </c>
      <c r="L41" s="2050" t="str">
        <f t="shared" si="3"/>
        <v>нет</v>
      </c>
      <c r="M41" s="2050" t="str">
        <f t="shared" si="4"/>
        <v>нет</v>
      </c>
      <c r="N41" s="460"/>
    </row>
    <row r="42" spans="1:14" x14ac:dyDescent="0.2">
      <c r="A42" s="551" t="str">
        <f>IF(LEN(КАФЕДРА!A42)&gt;2,КАФЕДРА!A42,"")</f>
        <v>Патологической физиологии</v>
      </c>
      <c r="B42" s="786" t="str">
        <f>КАФЕДРА!$D42</f>
        <v>ПЕДИАТРИИ</v>
      </c>
      <c r="C42" s="960">
        <f>IF(LEN(Кадры!$A42)&gt;2,Кадры!$E42,0)</f>
        <v>0</v>
      </c>
      <c r="D42" s="721">
        <f t="shared" si="0"/>
        <v>0</v>
      </c>
      <c r="E42" s="721">
        <f t="array" ref="E42">SUM(($G42:$H42)*($G$11:$H$11))</f>
        <v>0</v>
      </c>
      <c r="F42" s="2021">
        <f t="shared" si="1"/>
        <v>0</v>
      </c>
      <c r="G42" s="2031"/>
      <c r="H42" s="1221"/>
      <c r="I42" s="1769"/>
      <c r="J42" s="773"/>
      <c r="K42" s="2044" t="str">
        <f t="shared" si="2"/>
        <v>нет</v>
      </c>
      <c r="L42" s="2050" t="str">
        <f t="shared" si="3"/>
        <v>нет</v>
      </c>
      <c r="M42" s="2050" t="str">
        <f t="shared" si="4"/>
        <v>нет</v>
      </c>
      <c r="N42" s="460"/>
    </row>
    <row r="43" spans="1:14" x14ac:dyDescent="0.2">
      <c r="A43" s="551" t="str">
        <f>IF(LEN(КАФЕДРА!A43)&gt;2,КАФЕДРА!A43,"")</f>
        <v>Пропедевтики детских болезней</v>
      </c>
      <c r="B43" s="786" t="str">
        <f>КАФЕДРА!$D43</f>
        <v>ПЕДИАТРИИ</v>
      </c>
      <c r="C43" s="960">
        <f>IF(LEN(Кадры!$A43)&gt;2,Кадры!$E43,0)</f>
        <v>0</v>
      </c>
      <c r="D43" s="721">
        <f t="shared" si="0"/>
        <v>0</v>
      </c>
      <c r="E43" s="721">
        <f t="array" ref="E43">SUM(($G43:$H43)*($G$11:$H$11))</f>
        <v>0</v>
      </c>
      <c r="F43" s="2021">
        <f t="shared" si="1"/>
        <v>0</v>
      </c>
      <c r="G43" s="2031"/>
      <c r="H43" s="1221"/>
      <c r="I43" s="1769"/>
      <c r="J43" s="773"/>
      <c r="K43" s="2044" t="str">
        <f t="shared" si="2"/>
        <v>нет</v>
      </c>
      <c r="L43" s="2050" t="str">
        <f t="shared" si="3"/>
        <v>нет</v>
      </c>
      <c r="M43" s="2050" t="str">
        <f t="shared" si="4"/>
        <v>нет</v>
      </c>
      <c r="N43" s="460"/>
    </row>
    <row r="44" spans="1:14" x14ac:dyDescent="0.2">
      <c r="A44" s="551" t="str">
        <f>IF(LEN(КАФЕДРА!A44)&gt;2,КАФЕДРА!A44,"")</f>
        <v>Судебной медицины имени профессора В.Н. Крюкова и патологической анатомии с курсом ДПО</v>
      </c>
      <c r="B44" s="786" t="str">
        <f>КАФЕДРА!$D44</f>
        <v>ПЕДИАТРИИ</v>
      </c>
      <c r="C44" s="960">
        <f>IF(LEN(Кадры!$A44)&gt;2,Кадры!$E44,0)</f>
        <v>0</v>
      </c>
      <c r="D44" s="721">
        <f t="shared" si="0"/>
        <v>0</v>
      </c>
      <c r="E44" s="721">
        <f t="array" ref="E44">SUM(($G44:$H44)*($G$11:$H$11))</f>
        <v>0</v>
      </c>
      <c r="F44" s="2021">
        <f t="shared" si="1"/>
        <v>0</v>
      </c>
      <c r="G44" s="2031"/>
      <c r="H44" s="1221"/>
      <c r="I44" s="1769"/>
      <c r="J44" s="773"/>
      <c r="K44" s="2044" t="str">
        <f t="shared" si="2"/>
        <v>нет</v>
      </c>
      <c r="L44" s="2050" t="str">
        <f t="shared" si="3"/>
        <v>нет</v>
      </c>
      <c r="M44" s="2050" t="str">
        <f t="shared" si="4"/>
        <v>нет</v>
      </c>
      <c r="N44" s="460"/>
    </row>
    <row r="45" spans="1:14" x14ac:dyDescent="0.2">
      <c r="A45" s="551" t="str">
        <f>IF(LEN(КАФЕДРА!A45)&gt;2,КАФЕДРА!A45,"")</f>
        <v>Факультетской педиатрии</v>
      </c>
      <c r="B45" s="786" t="str">
        <f>КАФЕДРА!$D45</f>
        <v>ПЕДИАТРИИ</v>
      </c>
      <c r="C45" s="960">
        <f>IF(LEN(Кадры!$A45)&gt;2,Кадры!$E45,0)</f>
        <v>0</v>
      </c>
      <c r="D45" s="721">
        <f t="shared" si="0"/>
        <v>0</v>
      </c>
      <c r="E45" s="721">
        <f t="array" ref="E45">SUM(($G45:$H45)*($G$11:$H$11))</f>
        <v>0</v>
      </c>
      <c r="F45" s="2021">
        <f t="shared" si="1"/>
        <v>0</v>
      </c>
      <c r="G45" s="2031"/>
      <c r="H45" s="1221"/>
      <c r="I45" s="1769"/>
      <c r="J45" s="773"/>
      <c r="K45" s="2044" t="str">
        <f t="shared" si="2"/>
        <v>нет</v>
      </c>
      <c r="L45" s="2050" t="str">
        <f t="shared" si="3"/>
        <v>нет</v>
      </c>
      <c r="M45" s="2050" t="str">
        <f t="shared" si="4"/>
        <v>нет</v>
      </c>
      <c r="N45" s="460"/>
    </row>
    <row r="46" spans="1:14" s="767" customFormat="1" x14ac:dyDescent="0.2">
      <c r="A46" s="551" t="str">
        <f>IF(LEN(КАФЕДРА!A46)&gt;2,КАФЕДРА!A46,"")</f>
        <v>Хирургических болезней детского возраста</v>
      </c>
      <c r="B46" s="786" t="str">
        <f>КАФЕДРА!$D46</f>
        <v>ПЕДИАТРИИ</v>
      </c>
      <c r="C46" s="960">
        <f>IF(LEN(Кадры!$A46)&gt;2,Кадры!$E46,0)</f>
        <v>0</v>
      </c>
      <c r="D46" s="721">
        <f t="shared" si="0"/>
        <v>0</v>
      </c>
      <c r="E46" s="721">
        <f t="array" ref="E46">SUM(($G46:$H46)*($G$11:$H$11))</f>
        <v>0</v>
      </c>
      <c r="F46" s="2021">
        <f t="shared" si="1"/>
        <v>0</v>
      </c>
      <c r="G46" s="2031"/>
      <c r="H46" s="1221"/>
      <c r="I46" s="1769"/>
      <c r="J46" s="773"/>
      <c r="K46" s="2044" t="str">
        <f t="shared" si="2"/>
        <v>нет</v>
      </c>
      <c r="L46" s="2050" t="str">
        <f t="shared" si="3"/>
        <v>нет</v>
      </c>
      <c r="M46" s="2050" t="str">
        <f t="shared" si="4"/>
        <v>нет</v>
      </c>
      <c r="N46" s="460"/>
    </row>
    <row r="47" spans="1:14" ht="15" thickBot="1" x14ac:dyDescent="0.25">
      <c r="A47" s="1172" t="str">
        <f>IF(LEN(КАФЕДРА!A47)&gt;2,КАФЕДРА!A47,"")</f>
        <v>Клинической фармакологии</v>
      </c>
      <c r="B47" s="1179" t="str">
        <f>КАФЕДРА!$D47</f>
        <v>ПЕДИАТРИИ</v>
      </c>
      <c r="C47" s="1174">
        <f>IF(LEN(Кадры!$A47)&gt;2,Кадры!$E47,0)</f>
        <v>0</v>
      </c>
      <c r="D47" s="1180">
        <f t="shared" si="0"/>
        <v>0</v>
      </c>
      <c r="E47" s="1180">
        <f t="array" ref="E47">SUM(($G47:$H47)*($G$11:$H$11))</f>
        <v>0</v>
      </c>
      <c r="F47" s="2022">
        <f t="shared" si="1"/>
        <v>0</v>
      </c>
      <c r="G47" s="2032"/>
      <c r="H47" s="1774"/>
      <c r="I47" s="1770"/>
      <c r="J47" s="1777"/>
      <c r="K47" s="2046" t="str">
        <f t="shared" si="2"/>
        <v>нет</v>
      </c>
      <c r="L47" s="2051" t="str">
        <f t="shared" si="3"/>
        <v>нет</v>
      </c>
      <c r="M47" s="2052" t="str">
        <f t="shared" si="4"/>
        <v>нет</v>
      </c>
      <c r="N47" s="460"/>
    </row>
    <row r="48" spans="1:14" x14ac:dyDescent="0.2">
      <c r="A48" s="582" t="str">
        <f>IF(LEN(КАФЕДРА!A48)&gt;2,КАФЕДРА!A48,"")</f>
        <v>Ортопедической стоматологии</v>
      </c>
      <c r="B48" s="1181" t="str">
        <f>КАФЕДРА!$D48</f>
        <v>СТОМ</v>
      </c>
      <c r="C48" s="370">
        <f>IF(LEN(Кадры!$A48)&gt;2,Кадры!$E48,0)</f>
        <v>0</v>
      </c>
      <c r="D48" s="1177">
        <f t="shared" si="0"/>
        <v>0</v>
      </c>
      <c r="E48" s="1177">
        <f t="array" ref="E48">SUM(($G48:$H48)*($G$11:$H$11))</f>
        <v>0</v>
      </c>
      <c r="F48" s="2020">
        <f t="shared" si="1"/>
        <v>0</v>
      </c>
      <c r="G48" s="1813"/>
      <c r="H48" s="1220"/>
      <c r="I48" s="1492"/>
      <c r="J48" s="684"/>
      <c r="K48" s="2044" t="str">
        <f t="shared" si="2"/>
        <v>нет</v>
      </c>
      <c r="L48" s="2053" t="str">
        <f t="shared" si="3"/>
        <v>нет</v>
      </c>
      <c r="M48" s="2053" t="str">
        <f t="shared" si="4"/>
        <v>нет</v>
      </c>
      <c r="N48" s="460"/>
    </row>
    <row r="49" spans="1:14" x14ac:dyDescent="0.2">
      <c r="A49" s="551" t="str">
        <f>IF(LEN(КАФЕДРА!A49)&gt;2,КАФЕДРА!A49,"")</f>
        <v>Стоматологии детского возраста</v>
      </c>
      <c r="B49" s="789" t="str">
        <f>КАФЕДРА!$D49</f>
        <v>СТОМ</v>
      </c>
      <c r="C49" s="960">
        <f>IF(LEN(Кадры!$A49)&gt;2,Кадры!$E49,0)</f>
        <v>0</v>
      </c>
      <c r="D49" s="721">
        <f t="shared" si="0"/>
        <v>0</v>
      </c>
      <c r="E49" s="721">
        <f t="array" ref="E49">SUM(($G49:$H49)*($G$11:$H$11))</f>
        <v>0</v>
      </c>
      <c r="F49" s="2021">
        <f t="shared" si="1"/>
        <v>0</v>
      </c>
      <c r="G49" s="2031"/>
      <c r="H49" s="1221"/>
      <c r="I49" s="1769"/>
      <c r="J49" s="773"/>
      <c r="K49" s="2044" t="str">
        <f t="shared" si="2"/>
        <v>нет</v>
      </c>
      <c r="L49" s="2050" t="str">
        <f t="shared" si="3"/>
        <v>нет</v>
      </c>
      <c r="M49" s="2050" t="str">
        <f t="shared" si="4"/>
        <v>нет</v>
      </c>
      <c r="N49" s="460"/>
    </row>
    <row r="50" spans="1:14" x14ac:dyDescent="0.2">
      <c r="A50" s="551" t="str">
        <f>IF(LEN(КАФЕДРА!A50)&gt;2,КАФЕДРА!A50,"")</f>
        <v>Терапевтической стоматологии</v>
      </c>
      <c r="B50" s="789" t="str">
        <f>КАФЕДРА!$D50</f>
        <v>СТОМ</v>
      </c>
      <c r="C50" s="960">
        <f>IF(LEN(Кадры!$A50)&gt;2,Кадры!$E50,0)</f>
        <v>0</v>
      </c>
      <c r="D50" s="721">
        <f t="shared" si="0"/>
        <v>0</v>
      </c>
      <c r="E50" s="721">
        <f t="array" ref="E50">SUM(($G50:$H50)*($G$11:$H$11))</f>
        <v>0</v>
      </c>
      <c r="F50" s="2021">
        <f t="shared" si="1"/>
        <v>0</v>
      </c>
      <c r="G50" s="2031"/>
      <c r="H50" s="1221"/>
      <c r="I50" s="1769"/>
      <c r="J50" s="773"/>
      <c r="K50" s="2044" t="str">
        <f t="shared" si="2"/>
        <v>нет</v>
      </c>
      <c r="L50" s="2050" t="str">
        <f t="shared" si="3"/>
        <v>нет</v>
      </c>
      <c r="M50" s="2050" t="str">
        <f t="shared" si="4"/>
        <v>нет</v>
      </c>
      <c r="N50" s="460"/>
    </row>
    <row r="51" spans="1:14" x14ac:dyDescent="0.2">
      <c r="A51" s="551" t="str">
        <f>IF(LEN(КАФЕДРА!A51)&gt;2,КАФЕДРА!A51,"")</f>
        <v>Физической культуры и здорового образа жизни</v>
      </c>
      <c r="B51" s="789" t="str">
        <f>КАФЕДРА!$D51</f>
        <v>СТОМ</v>
      </c>
      <c r="C51" s="960">
        <f>IF(LEN(Кадры!$A51)&gt;2,Кадры!$E51,0)</f>
        <v>0</v>
      </c>
      <c r="D51" s="721">
        <f t="shared" ref="D51:D77" si="5">IF($C51=0,0,$E51/$C51)</f>
        <v>0</v>
      </c>
      <c r="E51" s="721">
        <f t="array" ref="E51">SUM(($G51:$H51)*($G$11:$H$11))</f>
        <v>0</v>
      </c>
      <c r="F51" s="2021">
        <f t="shared" si="1"/>
        <v>0</v>
      </c>
      <c r="G51" s="2031"/>
      <c r="H51" s="1221"/>
      <c r="I51" s="1769"/>
      <c r="J51" s="773"/>
      <c r="K51" s="2044" t="str">
        <f t="shared" si="2"/>
        <v>нет</v>
      </c>
      <c r="L51" s="2050" t="str">
        <f t="shared" si="3"/>
        <v>нет</v>
      </c>
      <c r="M51" s="2050" t="str">
        <f t="shared" si="4"/>
        <v>нет</v>
      </c>
      <c r="N51" s="460"/>
    </row>
    <row r="52" spans="1:14" ht="15" thickBot="1" x14ac:dyDescent="0.25">
      <c r="A52" s="1172" t="str">
        <f>IF(LEN(КАФЕДРА!A52)&gt;2,КАФЕДРА!A52,"")</f>
        <v>Хирургической стоматологии, челюстно-лицевой хирургии</v>
      </c>
      <c r="B52" s="1182" t="str">
        <f>КАФЕДРА!$D52</f>
        <v>СТОМ</v>
      </c>
      <c r="C52" s="1174">
        <f>IF(LEN(Кадры!$A52)&gt;2,Кадры!$E52,0)</f>
        <v>0</v>
      </c>
      <c r="D52" s="1180">
        <f t="shared" si="5"/>
        <v>0</v>
      </c>
      <c r="E52" s="1180">
        <f t="array" ref="E52">SUM(($G52:$H52)*($G$11:$H$11))</f>
        <v>0</v>
      </c>
      <c r="F52" s="2022">
        <f t="shared" si="1"/>
        <v>0</v>
      </c>
      <c r="G52" s="1217"/>
      <c r="H52" s="1774"/>
      <c r="I52" s="1770"/>
      <c r="J52" s="1777"/>
      <c r="K52" s="2045" t="str">
        <f t="shared" si="2"/>
        <v>нет</v>
      </c>
      <c r="L52" s="2051" t="str">
        <f t="shared" si="3"/>
        <v>нет</v>
      </c>
      <c r="M52" s="2052" t="str">
        <f t="shared" si="4"/>
        <v>нет</v>
      </c>
      <c r="N52" s="460"/>
    </row>
    <row r="53" spans="1:14" x14ac:dyDescent="0.2">
      <c r="A53" s="582" t="str">
        <f>IF(LEN(КАФЕДРА!A53)&gt;2,КАФЕДРА!A53,"")</f>
        <v>Биологии, гистологии, эмбриологии и цитологии</v>
      </c>
      <c r="B53" s="1183" t="str">
        <f>КАФЕДРА!$D53</f>
        <v>ОЗДОРОВЬЯ</v>
      </c>
      <c r="C53" s="370">
        <f>IF(LEN(Кадры!$A53)&gt;2,Кадры!$E53,0)</f>
        <v>0</v>
      </c>
      <c r="D53" s="1177">
        <f t="shared" si="5"/>
        <v>0</v>
      </c>
      <c r="E53" s="1177">
        <f t="array" ref="E53">SUM(($G53:$H53)*($G$11:$H$11))</f>
        <v>0</v>
      </c>
      <c r="F53" s="2020">
        <f t="shared" si="1"/>
        <v>0</v>
      </c>
      <c r="G53" s="2030"/>
      <c r="H53" s="1220"/>
      <c r="I53" s="1492"/>
      <c r="J53" s="684"/>
      <c r="K53" s="2043" t="str">
        <f t="shared" si="2"/>
        <v>нет</v>
      </c>
      <c r="L53" s="2053" t="str">
        <f t="shared" si="3"/>
        <v>нет</v>
      </c>
      <c r="M53" s="2053" t="str">
        <f t="shared" si="4"/>
        <v>нет</v>
      </c>
      <c r="N53" s="460"/>
    </row>
    <row r="54" spans="1:14" x14ac:dyDescent="0.2">
      <c r="A54" s="551" t="str">
        <f>IF(LEN(КАФЕДРА!A54)&gt;2,КАФЕДРА!A54,"")</f>
        <v>Гигиены и основ экологии</v>
      </c>
      <c r="B54" s="792" t="str">
        <f>КАФЕДРА!$D54</f>
        <v>ОЗДОРОВЬЯ</v>
      </c>
      <c r="C54" s="960">
        <f>IF(LEN(Кадры!$A54)&gt;2,Кадры!$E54,0)</f>
        <v>0</v>
      </c>
      <c r="D54" s="721">
        <f t="shared" si="5"/>
        <v>0</v>
      </c>
      <c r="E54" s="721">
        <f t="array" ref="E54">SUM(($G54:$H54)*($G$11:$H$11))</f>
        <v>0</v>
      </c>
      <c r="F54" s="2021">
        <f t="shared" si="1"/>
        <v>0</v>
      </c>
      <c r="G54" s="2031"/>
      <c r="H54" s="1221"/>
      <c r="I54" s="1769"/>
      <c r="J54" s="773"/>
      <c r="K54" s="2044" t="str">
        <f t="shared" si="2"/>
        <v>нет</v>
      </c>
      <c r="L54" s="2050" t="str">
        <f t="shared" si="3"/>
        <v>нет</v>
      </c>
      <c r="M54" s="2050" t="str">
        <f t="shared" si="4"/>
        <v>нет</v>
      </c>
      <c r="N54" s="460"/>
    </row>
    <row r="55" spans="1:14" x14ac:dyDescent="0.2">
      <c r="A55" s="551" t="str">
        <f>IF(LEN(КАФЕДРА!A55)&gt;2,КАФЕДРА!A55,"")</f>
        <v>Дерматовенерологии, косметологии и иммунологии</v>
      </c>
      <c r="B55" s="792" t="str">
        <f>КАФЕДРА!$D55</f>
        <v>ОЗДОРОВЬЯ</v>
      </c>
      <c r="C55" s="960">
        <f>IF(LEN(Кадры!$A55)&gt;2,Кадры!$E55,0)</f>
        <v>0</v>
      </c>
      <c r="D55" s="721">
        <f t="shared" si="5"/>
        <v>0</v>
      </c>
      <c r="E55" s="721">
        <f t="array" ref="E55">SUM(($G55:$H55)*($G$11:$H$11))</f>
        <v>0</v>
      </c>
      <c r="F55" s="2021">
        <f t="shared" si="1"/>
        <v>0</v>
      </c>
      <c r="G55" s="2031"/>
      <c r="H55" s="1221"/>
      <c r="I55" s="1769"/>
      <c r="J55" s="773"/>
      <c r="K55" s="2044" t="str">
        <f t="shared" si="2"/>
        <v>нет</v>
      </c>
      <c r="L55" s="2050" t="str">
        <f t="shared" si="3"/>
        <v>нет</v>
      </c>
      <c r="M55" s="2050" t="str">
        <f t="shared" si="4"/>
        <v>нет</v>
      </c>
      <c r="N55" s="460"/>
    </row>
    <row r="56" spans="1:14" x14ac:dyDescent="0.2">
      <c r="A56" s="551" t="str">
        <f>IF(LEN(КАФЕДРА!A56)&gt;2,КАФЕДРА!A56,"")</f>
        <v>Инфекционных болезней с курсом ДПО</v>
      </c>
      <c r="B56" s="792" t="str">
        <f>КАФЕДРА!$D56</f>
        <v>ОЗДОРОВЬЯ</v>
      </c>
      <c r="C56" s="960">
        <f>IF(LEN(Кадры!$A56)&gt;2,Кадры!$E56,0)</f>
        <v>0</v>
      </c>
      <c r="D56" s="721">
        <f t="shared" si="5"/>
        <v>0</v>
      </c>
      <c r="E56" s="721">
        <f t="array" ref="E56">SUM(($G56:$H56)*($G$11:$H$11))</f>
        <v>0</v>
      </c>
      <c r="F56" s="2021">
        <f t="shared" si="1"/>
        <v>0</v>
      </c>
      <c r="G56" s="2031"/>
      <c r="H56" s="1221"/>
      <c r="I56" s="1769"/>
      <c r="J56" s="773"/>
      <c r="K56" s="2044" t="str">
        <f t="shared" si="2"/>
        <v>нет</v>
      </c>
      <c r="L56" s="2050" t="str">
        <f t="shared" si="3"/>
        <v>нет</v>
      </c>
      <c r="M56" s="2050" t="str">
        <f t="shared" si="4"/>
        <v>нет</v>
      </c>
      <c r="N56" s="460"/>
    </row>
    <row r="57" spans="1:14" x14ac:dyDescent="0.2">
      <c r="A57" s="551" t="str">
        <f>IF(LEN(КАФЕДРА!A57)&gt;2,КАФЕДРА!A57,"")</f>
        <v>Медицины катастроф и безопасности жизнедеятельности</v>
      </c>
      <c r="B57" s="792" t="str">
        <f>КАФЕДРА!$D57</f>
        <v>ОЗДОРОВЬЯ</v>
      </c>
      <c r="C57" s="960">
        <f>IF(LEN(Кадры!$A57)&gt;2,Кадры!$E57,0)</f>
        <v>0</v>
      </c>
      <c r="D57" s="721">
        <f t="shared" si="5"/>
        <v>0</v>
      </c>
      <c r="E57" s="721">
        <f t="array" ref="E57">SUM(($G57:$H57)*($G$11:$H$11))</f>
        <v>0</v>
      </c>
      <c r="F57" s="2021">
        <f t="shared" si="1"/>
        <v>0</v>
      </c>
      <c r="G57" s="2031"/>
      <c r="H57" s="1221"/>
      <c r="I57" s="1769"/>
      <c r="J57" s="773"/>
      <c r="K57" s="2044" t="str">
        <f t="shared" si="2"/>
        <v>нет</v>
      </c>
      <c r="L57" s="2050" t="str">
        <f t="shared" si="3"/>
        <v>нет</v>
      </c>
      <c r="M57" s="2050" t="str">
        <f t="shared" si="4"/>
        <v>нет</v>
      </c>
      <c r="N57" s="460"/>
    </row>
    <row r="58" spans="1:14" x14ac:dyDescent="0.2">
      <c r="A58" s="551" t="str">
        <f>IF(LEN(КАФЕДРА!A58)&gt;2,КАФЕДРА!A58,"")</f>
        <v>Медицинского права</v>
      </c>
      <c r="B58" s="792" t="str">
        <f>КАФЕДРА!$D58</f>
        <v>ОЗДОРОВЬЯ</v>
      </c>
      <c r="C58" s="960">
        <f>IF(LEN(Кадры!$A58)&gt;2,Кадры!$E58,0)</f>
        <v>0</v>
      </c>
      <c r="D58" s="721">
        <f t="shared" si="5"/>
        <v>0</v>
      </c>
      <c r="E58" s="721">
        <f t="array" ref="E58">SUM(($G58:$H58)*($G$11:$H$11))</f>
        <v>0</v>
      </c>
      <c r="F58" s="2021">
        <f t="shared" si="1"/>
        <v>0</v>
      </c>
      <c r="G58" s="2031"/>
      <c r="H58" s="1221"/>
      <c r="I58" s="1769"/>
      <c r="J58" s="773"/>
      <c r="K58" s="2044" t="str">
        <f t="shared" si="2"/>
        <v>нет</v>
      </c>
      <c r="L58" s="2050" t="str">
        <f t="shared" si="3"/>
        <v>нет</v>
      </c>
      <c r="M58" s="2050" t="str">
        <f t="shared" si="4"/>
        <v>нет</v>
      </c>
      <c r="N58" s="460"/>
    </row>
    <row r="59" spans="1:14" x14ac:dyDescent="0.2">
      <c r="A59" s="551" t="str">
        <f>IF(LEN(КАФЕДРА!A59)&gt;2,КАФЕДРА!A59,"")</f>
        <v>Общественного здоровья и здравоохранения</v>
      </c>
      <c r="B59" s="792" t="str">
        <f>КАФЕДРА!$D59</f>
        <v>ОЗДОРОВЬЯ</v>
      </c>
      <c r="C59" s="960">
        <f>IF(LEN(Кадры!$A59)&gt;2,Кадры!$E59,0)</f>
        <v>0</v>
      </c>
      <c r="D59" s="721">
        <f t="shared" si="5"/>
        <v>0</v>
      </c>
      <c r="E59" s="721">
        <f t="array" ref="E59">SUM(($G59:$H59)*($G$11:$H$11))</f>
        <v>0</v>
      </c>
      <c r="F59" s="2021">
        <f t="shared" si="1"/>
        <v>0</v>
      </c>
      <c r="G59" s="2031"/>
      <c r="H59" s="1221"/>
      <c r="I59" s="1769"/>
      <c r="J59" s="773"/>
      <c r="K59" s="2044" t="str">
        <f t="shared" si="2"/>
        <v>нет</v>
      </c>
      <c r="L59" s="2050" t="str">
        <f t="shared" si="3"/>
        <v>нет</v>
      </c>
      <c r="M59" s="2050" t="str">
        <f t="shared" si="4"/>
        <v>нет</v>
      </c>
      <c r="N59" s="460"/>
    </row>
    <row r="60" spans="1:14" x14ac:dyDescent="0.2">
      <c r="A60" s="551" t="str">
        <f>IF(LEN(КАФЕДРА!A60)&gt;2,КАФЕДРА!A60,"")</f>
        <v>Пульмонологии и фтизиатрии с курсом ДПО</v>
      </c>
      <c r="B60" s="792" t="str">
        <f>КАФЕДРА!$D60</f>
        <v>ОЗДОРОВЬЯ</v>
      </c>
      <c r="C60" s="960">
        <f>IF(LEN(Кадры!$A60)&gt;2,Кадры!$E60,0)</f>
        <v>0</v>
      </c>
      <c r="D60" s="721">
        <f t="shared" si="5"/>
        <v>0</v>
      </c>
      <c r="E60" s="721">
        <f t="array" ref="E60">SUM(($G60:$H60)*($G$11:$H$11))</f>
        <v>0</v>
      </c>
      <c r="F60" s="2021">
        <f t="shared" si="1"/>
        <v>0</v>
      </c>
      <c r="G60" s="2031"/>
      <c r="H60" s="1221"/>
      <c r="I60" s="1769"/>
      <c r="J60" s="773"/>
      <c r="K60" s="2044" t="str">
        <f t="shared" si="2"/>
        <v>нет</v>
      </c>
      <c r="L60" s="2050" t="str">
        <f t="shared" si="3"/>
        <v>нет</v>
      </c>
      <c r="M60" s="2050" t="str">
        <f t="shared" si="4"/>
        <v>нет</v>
      </c>
      <c r="N60" s="460"/>
    </row>
    <row r="61" spans="1:14" x14ac:dyDescent="0.2">
      <c r="A61" s="551" t="str">
        <f>IF(LEN(КАФЕДРА!A61)&gt;2,КАФЕДРА!A61,"")</f>
        <v>Эпидемиологии, микробиологии и вирусологии</v>
      </c>
      <c r="B61" s="792" t="str">
        <f>КАФЕДРА!$D61</f>
        <v>ОЗДОРОВЬЯ</v>
      </c>
      <c r="C61" s="960">
        <f>IF(LEN(Кадры!$A61)&gt;2,Кадры!$E61,0)</f>
        <v>0</v>
      </c>
      <c r="D61" s="721">
        <f t="shared" si="5"/>
        <v>0</v>
      </c>
      <c r="E61" s="721">
        <f t="array" ref="E61">SUM(($G61:$H61)*($G$11:$H$11))</f>
        <v>0</v>
      </c>
      <c r="F61" s="2021">
        <f t="shared" si="1"/>
        <v>0</v>
      </c>
      <c r="G61" s="2031"/>
      <c r="H61" s="1221"/>
      <c r="I61" s="1769"/>
      <c r="J61" s="773"/>
      <c r="K61" s="2044" t="str">
        <f t="shared" si="2"/>
        <v>нет</v>
      </c>
      <c r="L61" s="2050" t="str">
        <f t="shared" si="3"/>
        <v>нет</v>
      </c>
      <c r="M61" s="2050" t="str">
        <f t="shared" si="4"/>
        <v>нет</v>
      </c>
      <c r="N61" s="460"/>
    </row>
    <row r="62" spans="1:14" ht="15" thickBot="1" x14ac:dyDescent="0.25">
      <c r="A62" s="1172" t="str">
        <f>IF(LEN(КАФЕДРА!A62)&gt;2,КАФЕДРА!A62,"")</f>
        <v>Социально-гуманитарных наук</v>
      </c>
      <c r="B62" s="1188" t="str">
        <f>КАФЕДРА!$D62</f>
        <v>ОЗДОРОВЬЯ</v>
      </c>
      <c r="C62" s="1174">
        <f>IF(LEN(Кадры!$A62)&gt;2,Кадры!$E62,0)</f>
        <v>0</v>
      </c>
      <c r="D62" s="1180">
        <f t="shared" si="5"/>
        <v>0</v>
      </c>
      <c r="E62" s="1180">
        <f t="array" ref="E62">SUM(($G62:$H62)*($G$11:$H$11))</f>
        <v>0</v>
      </c>
      <c r="F62" s="2022">
        <f t="shared" si="1"/>
        <v>0</v>
      </c>
      <c r="G62" s="1217"/>
      <c r="H62" s="1774"/>
      <c r="I62" s="1217"/>
      <c r="J62" s="1777"/>
      <c r="K62" s="2045" t="str">
        <f t="shared" si="2"/>
        <v>нет</v>
      </c>
      <c r="L62" s="2054" t="str">
        <f t="shared" si="3"/>
        <v>нет</v>
      </c>
      <c r="M62" s="2054" t="str">
        <f t="shared" si="4"/>
        <v>нет</v>
      </c>
      <c r="N62" s="460"/>
    </row>
    <row r="63" spans="1:14" ht="15" thickBot="1" x14ac:dyDescent="0.25">
      <c r="A63" s="583" t="str">
        <f>IF(LEN(КАФЕДРА!A63)&gt;2,КАФЕДРА!A63,"")</f>
        <v>Сестринского дела</v>
      </c>
      <c r="B63" s="1190" t="str">
        <f>КАФЕДРА!$D63</f>
        <v>СПО</v>
      </c>
      <c r="C63" s="1191">
        <f>IF(LEN(Кадры!$A63)&gt;2,Кадры!$E63,0)</f>
        <v>0</v>
      </c>
      <c r="D63" s="1192">
        <f t="shared" si="5"/>
        <v>0</v>
      </c>
      <c r="E63" s="1192">
        <f t="array" ref="E63">SUM(($G63:$H63)*($G$11:$H$11))</f>
        <v>0</v>
      </c>
      <c r="F63" s="2023">
        <f t="shared" si="1"/>
        <v>0</v>
      </c>
      <c r="G63" s="2033"/>
      <c r="H63" s="1222"/>
      <c r="I63" s="1500"/>
      <c r="J63" s="1778"/>
      <c r="K63" s="2047" t="str">
        <f t="shared" si="2"/>
        <v>нет</v>
      </c>
      <c r="L63" s="2055" t="str">
        <f t="shared" si="3"/>
        <v>нет</v>
      </c>
      <c r="M63" s="2056" t="str">
        <f t="shared" si="4"/>
        <v>нет</v>
      </c>
      <c r="N63" s="460"/>
    </row>
    <row r="64" spans="1:14" x14ac:dyDescent="0.2">
      <c r="A64" s="582" t="str">
        <f>IF(LEN(КАФЕДРА!A64)&gt;2,КАФЕДРА!A64,"")</f>
        <v>Биологической химии, клинической лабораторной диагностики</v>
      </c>
      <c r="B64" s="805" t="str">
        <f>КАФЕДРА!$D64</f>
        <v>ФАРМ</v>
      </c>
      <c r="C64" s="370">
        <f>IF(LEN(Кадры!$A64)&gt;2,Кадры!$E64,0)</f>
        <v>0</v>
      </c>
      <c r="D64" s="1177">
        <f t="shared" si="5"/>
        <v>0</v>
      </c>
      <c r="E64" s="1177">
        <f t="array" ref="E64">SUM(($G64:$H64)*($G$11:$H$11))</f>
        <v>0</v>
      </c>
      <c r="F64" s="2020">
        <f t="shared" si="1"/>
        <v>0</v>
      </c>
      <c r="G64" s="1813"/>
      <c r="H64" s="1220"/>
      <c r="I64" s="1775"/>
      <c r="J64" s="684"/>
      <c r="K64" s="2043" t="str">
        <f t="shared" si="2"/>
        <v>нет</v>
      </c>
      <c r="L64" s="2053" t="str">
        <f t="shared" si="3"/>
        <v>нет</v>
      </c>
      <c r="M64" s="2053" t="str">
        <f t="shared" si="4"/>
        <v>нет</v>
      </c>
      <c r="N64" s="460"/>
    </row>
    <row r="65" spans="1:34" x14ac:dyDescent="0.2">
      <c r="A65" s="551" t="str">
        <f>IF(LEN(КАФЕДРА!A65)&gt;2,КАФЕДРА!A65,"")</f>
        <v>Химии</v>
      </c>
      <c r="B65" s="797" t="str">
        <f>КАФЕДРА!$D65</f>
        <v>ФАРМ</v>
      </c>
      <c r="C65" s="960">
        <f>IF(LEN(Кадры!$A65)&gt;2,Кадры!$E65,0)</f>
        <v>0</v>
      </c>
      <c r="D65" s="721">
        <f t="shared" si="5"/>
        <v>0</v>
      </c>
      <c r="E65" s="721">
        <f t="array" ref="E65">SUM(($G65:$H65)*($G$11:$H$11))</f>
        <v>0</v>
      </c>
      <c r="F65" s="2021">
        <f t="shared" si="1"/>
        <v>0</v>
      </c>
      <c r="G65" s="2031"/>
      <c r="H65" s="1221"/>
      <c r="I65" s="1769"/>
      <c r="J65" s="773"/>
      <c r="K65" s="2044" t="str">
        <f t="shared" si="2"/>
        <v>нет</v>
      </c>
      <c r="L65" s="2050" t="str">
        <f t="shared" si="3"/>
        <v>нет</v>
      </c>
      <c r="M65" s="2050" t="str">
        <f t="shared" si="4"/>
        <v>нет</v>
      </c>
      <c r="N65" s="460"/>
    </row>
    <row r="66" spans="1:34" x14ac:dyDescent="0.2">
      <c r="A66" s="551" t="str">
        <f>IF(LEN(КАФЕДРА!A66)&gt;2,КАФЕДРА!A66,"")</f>
        <v>Фармакологии имени профессора В.М. Брюханова</v>
      </c>
      <c r="B66" s="797" t="str">
        <f>КАФЕДРА!$D66</f>
        <v>ФАРМ</v>
      </c>
      <c r="C66" s="960">
        <f>IF(LEN(Кадры!$A66)&gt;2,Кадры!$E66,0)</f>
        <v>0</v>
      </c>
      <c r="D66" s="721">
        <f t="shared" si="5"/>
        <v>0</v>
      </c>
      <c r="E66" s="721">
        <f t="array" ref="E66">SUM(($G66:$H66)*($G$11:$H$11))</f>
        <v>0</v>
      </c>
      <c r="F66" s="2021">
        <f t="shared" si="1"/>
        <v>0</v>
      </c>
      <c r="G66" s="2031"/>
      <c r="H66" s="1221"/>
      <c r="I66" s="1769"/>
      <c r="J66" s="773"/>
      <c r="K66" s="2044" t="str">
        <f t="shared" si="2"/>
        <v>нет</v>
      </c>
      <c r="L66" s="2050" t="str">
        <f t="shared" si="3"/>
        <v>нет</v>
      </c>
      <c r="M66" s="2050" t="str">
        <f t="shared" si="4"/>
        <v>нет</v>
      </c>
      <c r="N66" s="460"/>
    </row>
    <row r="67" spans="1:34" x14ac:dyDescent="0.2">
      <c r="A67" s="551" t="str">
        <f>IF(LEN(КАФЕДРА!A67)&gt;2,КАФЕДРА!A67,"")</f>
        <v>Фармации</v>
      </c>
      <c r="B67" s="797" t="str">
        <f>КАФЕДРА!$D67</f>
        <v>ФАРМ</v>
      </c>
      <c r="C67" s="960">
        <f>IF(LEN(Кадры!$A67)&gt;2,Кадры!$E67,0)</f>
        <v>0</v>
      </c>
      <c r="D67" s="721">
        <f t="shared" si="5"/>
        <v>0</v>
      </c>
      <c r="E67" s="721">
        <f t="array" ref="E67">SUM(($G67:$H67)*($G$11:$H$11))</f>
        <v>0</v>
      </c>
      <c r="F67" s="2021">
        <f t="shared" si="1"/>
        <v>0</v>
      </c>
      <c r="G67" s="2031"/>
      <c r="H67" s="1221"/>
      <c r="I67" s="1769"/>
      <c r="J67" s="773"/>
      <c r="K67" s="2044" t="str">
        <f t="shared" si="2"/>
        <v>нет</v>
      </c>
      <c r="L67" s="2050" t="str">
        <f t="shared" si="3"/>
        <v>нет</v>
      </c>
      <c r="M67" s="2050" t="str">
        <f t="shared" si="4"/>
        <v>нет</v>
      </c>
      <c r="N67" s="460"/>
    </row>
    <row r="68" spans="1:34" ht="15" thickBot="1" x14ac:dyDescent="0.25">
      <c r="A68" s="1172" t="str">
        <f>IF(LEN(КАФЕДРА!A68)&gt;2,КАФЕДРА!A68,"")</f>
        <v>Физики и информатики</v>
      </c>
      <c r="B68" s="1193" t="str">
        <f>КАФЕДРА!$D68</f>
        <v>ФАРМ</v>
      </c>
      <c r="C68" s="1174">
        <f>IF(LEN(Кадры!$A68)&gt;2,Кадры!$E68,0)</f>
        <v>0</v>
      </c>
      <c r="D68" s="1180">
        <f t="shared" si="5"/>
        <v>0</v>
      </c>
      <c r="E68" s="1180">
        <f t="array" ref="E68">SUM(($G68:$H68)*($G$11:$H$11))</f>
        <v>0</v>
      </c>
      <c r="F68" s="2022">
        <f t="shared" si="1"/>
        <v>0</v>
      </c>
      <c r="G68" s="2032"/>
      <c r="H68" s="1774"/>
      <c r="I68" s="1770"/>
      <c r="J68" s="1777"/>
      <c r="K68" s="2045" t="str">
        <f t="shared" si="2"/>
        <v>нет</v>
      </c>
      <c r="L68" s="2051" t="str">
        <f t="shared" si="3"/>
        <v>нет</v>
      </c>
      <c r="M68" s="2052" t="str">
        <f t="shared" si="4"/>
        <v>нет</v>
      </c>
      <c r="N68" s="460"/>
    </row>
    <row r="69" spans="1:34" x14ac:dyDescent="0.2">
      <c r="A69" s="582" t="str">
        <f>IF(LEN(КАФЕДРА!A69)&gt;2,КАФЕДРА!A69,"")</f>
        <v>Клинической психологии</v>
      </c>
      <c r="B69" s="1194" t="str">
        <f>КАФЕДРА!$D69</f>
        <v>КПСИХОЛОГИИ</v>
      </c>
      <c r="C69" s="370">
        <f>IF(LEN(Кадры!$A69)&gt;2,Кадры!$E69,0)</f>
        <v>0</v>
      </c>
      <c r="D69" s="1177">
        <f t="shared" si="5"/>
        <v>0</v>
      </c>
      <c r="E69" s="1177">
        <f t="array" ref="E69">SUM(($G69:$H69)*($G$11:$H$11))</f>
        <v>0</v>
      </c>
      <c r="F69" s="2020">
        <f t="shared" si="1"/>
        <v>0</v>
      </c>
      <c r="G69" s="1813"/>
      <c r="H69" s="1220"/>
      <c r="I69" s="1492"/>
      <c r="J69" s="684"/>
      <c r="K69" s="2043" t="str">
        <f t="shared" si="2"/>
        <v>нет</v>
      </c>
      <c r="L69" s="2053" t="str">
        <f t="shared" si="3"/>
        <v>нет</v>
      </c>
      <c r="M69" s="2053" t="str">
        <f t="shared" si="4"/>
        <v>нет</v>
      </c>
      <c r="N69" s="460"/>
    </row>
    <row r="70" spans="1:34" x14ac:dyDescent="0.2">
      <c r="A70" s="551" t="str">
        <f>IF(LEN(КАФЕДРА!A70)&gt;2,КАФЕДРА!A70,"")</f>
        <v>Медицинской реабилитологии с курсом ДПО</v>
      </c>
      <c r="B70" s="800" t="str">
        <f>КАФЕДРА!$D70</f>
        <v>КПСИХОЛОГИИ</v>
      </c>
      <c r="C70" s="960">
        <f>IF(LEN(Кадры!$A70)&gt;2,Кадры!$E70,0)</f>
        <v>0</v>
      </c>
      <c r="D70" s="721">
        <f t="shared" si="5"/>
        <v>0</v>
      </c>
      <c r="E70" s="721">
        <f t="array" ref="E70">SUM(($G70:$H70)*($G$11:$H$11))</f>
        <v>0</v>
      </c>
      <c r="F70" s="2021">
        <f t="shared" si="1"/>
        <v>0</v>
      </c>
      <c r="G70" s="2031"/>
      <c r="H70" s="1221"/>
      <c r="I70" s="1769"/>
      <c r="J70" s="773"/>
      <c r="K70" s="2044" t="str">
        <f t="shared" si="2"/>
        <v>нет</v>
      </c>
      <c r="L70" s="2050" t="str">
        <f t="shared" si="3"/>
        <v>нет</v>
      </c>
      <c r="M70" s="2050" t="str">
        <f t="shared" si="4"/>
        <v>нет</v>
      </c>
      <c r="N70" s="460"/>
    </row>
    <row r="71" spans="1:34" x14ac:dyDescent="0.2">
      <c r="A71" s="551" t="str">
        <f>IF(LEN(КАФЕДРА!A71)&gt;2,КАФЕДРА!A71,"")</f>
        <v>Психиатрии, медицинской психологии и наркологии с курсом ДПО</v>
      </c>
      <c r="B71" s="800" t="str">
        <f>КАФЕДРА!$D71</f>
        <v>КПСИХОЛОГИИ</v>
      </c>
      <c r="C71" s="960">
        <f>IF(LEN(Кадры!$A71)&gt;2,Кадры!$E71,0)</f>
        <v>0</v>
      </c>
      <c r="D71" s="721">
        <f t="shared" si="5"/>
        <v>0</v>
      </c>
      <c r="E71" s="721">
        <f t="array" ref="E71">SUM(($G71:$H71)*($G$11:$H$11))</f>
        <v>0</v>
      </c>
      <c r="F71" s="2021">
        <f t="shared" si="1"/>
        <v>0</v>
      </c>
      <c r="G71" s="2031"/>
      <c r="H71" s="1221"/>
      <c r="I71" s="1769"/>
      <c r="J71" s="773"/>
      <c r="K71" s="2044" t="str">
        <f t="shared" si="2"/>
        <v>нет</v>
      </c>
      <c r="L71" s="2050" t="str">
        <f t="shared" si="3"/>
        <v>нет</v>
      </c>
      <c r="M71" s="2050" t="str">
        <f t="shared" si="4"/>
        <v>нет</v>
      </c>
      <c r="N71" s="460"/>
    </row>
    <row r="72" spans="1:34" s="767" customFormat="1" x14ac:dyDescent="0.2">
      <c r="A72" s="551" t="str">
        <f>IF(LEN(КАФЕДРА!A72)&gt;2,КАФЕДРА!A72,"")</f>
        <v>Философии</v>
      </c>
      <c r="B72" s="800" t="str">
        <f>КАФЕДРА!$D72</f>
        <v>КПСИХОЛОГИИ</v>
      </c>
      <c r="C72" s="960">
        <f>IF(LEN(Кадры!$A72)&gt;2,Кадры!$E72,0)</f>
        <v>0</v>
      </c>
      <c r="D72" s="721">
        <f t="shared" si="5"/>
        <v>0</v>
      </c>
      <c r="E72" s="721">
        <f t="array" ref="E72">SUM(($G72:$H72)*($G$11:$H$11))</f>
        <v>0</v>
      </c>
      <c r="F72" s="2021">
        <f t="shared" si="1"/>
        <v>0</v>
      </c>
      <c r="G72" s="2031"/>
      <c r="H72" s="1221"/>
      <c r="I72" s="1769"/>
      <c r="J72" s="773"/>
      <c r="K72" s="2044" t="str">
        <f t="shared" si="2"/>
        <v>нет</v>
      </c>
      <c r="L72" s="2050" t="str">
        <f t="shared" si="3"/>
        <v>нет</v>
      </c>
      <c r="M72" s="2050" t="str">
        <f t="shared" si="4"/>
        <v>нет</v>
      </c>
      <c r="N72" s="460"/>
    </row>
    <row r="73" spans="1:34" ht="15" thickBot="1" x14ac:dyDescent="0.25">
      <c r="A73" s="1172" t="str">
        <f>IF(LEN(КАФЕДРА!A73)&gt;2,КАФЕДРА!A73,"")</f>
        <v>Истории</v>
      </c>
      <c r="B73" s="1195" t="str">
        <f>КАФЕДРА!$D73</f>
        <v>КПСИХОЛОГИИ</v>
      </c>
      <c r="C73" s="1174">
        <f>IF(LEN(Кадры!$A73)&gt;2,Кадры!$E73,0)</f>
        <v>0</v>
      </c>
      <c r="D73" s="1180">
        <f t="shared" si="5"/>
        <v>0</v>
      </c>
      <c r="E73" s="1180">
        <f t="array" ref="E73">SUM(($G73:$H73)*($G$11:$H$11))</f>
        <v>0</v>
      </c>
      <c r="F73" s="2022">
        <f t="shared" si="1"/>
        <v>0</v>
      </c>
      <c r="G73" s="1217"/>
      <c r="H73" s="1774"/>
      <c r="I73" s="1217"/>
      <c r="J73" s="1777"/>
      <c r="K73" s="2045" t="str">
        <f t="shared" si="2"/>
        <v>нет</v>
      </c>
      <c r="L73" s="2051" t="str">
        <f t="shared" si="3"/>
        <v>нет</v>
      </c>
      <c r="M73" s="2052" t="str">
        <f t="shared" si="4"/>
        <v>нет</v>
      </c>
      <c r="N73" s="460"/>
    </row>
    <row r="74" spans="1:34" x14ac:dyDescent="0.2">
      <c r="A74" s="582" t="str">
        <f>IF(LEN(КАФЕДРА!A74)&gt;2,КАФЕДРА!A74,"")</f>
        <v>Иностранных языков с курсом латинского языка</v>
      </c>
      <c r="B74" s="804" t="str">
        <f>КАФЕДРА!$D74</f>
        <v>ФИС</v>
      </c>
      <c r="C74" s="370">
        <f>IF(LEN(Кадры!$A74)&gt;2,Кадры!$E74,0)</f>
        <v>0</v>
      </c>
      <c r="D74" s="1177">
        <f t="shared" si="5"/>
        <v>0</v>
      </c>
      <c r="E74" s="1177">
        <f t="array" ref="E74">SUM(($G74:$H74)*($G$11:$H$11))</f>
        <v>0</v>
      </c>
      <c r="F74" s="2020">
        <f t="shared" si="1"/>
        <v>0</v>
      </c>
      <c r="G74" s="2030"/>
      <c r="H74" s="1220"/>
      <c r="I74" s="1775"/>
      <c r="J74" s="684"/>
      <c r="K74" s="2043" t="str">
        <f t="shared" si="2"/>
        <v>нет</v>
      </c>
      <c r="L74" s="2053" t="str">
        <f t="shared" si="3"/>
        <v>нет</v>
      </c>
      <c r="M74" s="2053" t="str">
        <f t="shared" si="4"/>
        <v>нет</v>
      </c>
      <c r="N74" s="460"/>
    </row>
    <row r="75" spans="1:34" ht="15" thickBot="1" x14ac:dyDescent="0.25">
      <c r="A75" s="1172" t="str">
        <f>IF(LEN(КАФЕДРА!A75)&gt;2,КАФЕДРА!A75,"")</f>
        <v>Русского языка как иностранного</v>
      </c>
      <c r="B75" s="975" t="str">
        <f>КАФЕДРА!$D75</f>
        <v>ФИС</v>
      </c>
      <c r="C75" s="1174">
        <f>IF(LEN(Кадры!$A75)&gt;2,Кадры!$E75,0)</f>
        <v>0</v>
      </c>
      <c r="D75" s="1175">
        <f t="shared" si="5"/>
        <v>0</v>
      </c>
      <c r="E75" s="1175">
        <f t="array" ref="E75">SUM(($G75:$H75)*($G$11:$H$11))</f>
        <v>0</v>
      </c>
      <c r="F75" s="2022">
        <f t="shared" si="1"/>
        <v>0</v>
      </c>
      <c r="G75" s="1217"/>
      <c r="H75" s="1774"/>
      <c r="I75" s="1770"/>
      <c r="J75" s="1777"/>
      <c r="K75" s="2045" t="str">
        <f t="shared" si="2"/>
        <v>нет</v>
      </c>
      <c r="L75" s="2051" t="str">
        <f t="shared" si="3"/>
        <v>нет</v>
      </c>
      <c r="M75" s="2052" t="str">
        <f t="shared" si="4"/>
        <v>нет</v>
      </c>
      <c r="N75" s="967"/>
      <c r="O75" s="372"/>
      <c r="P75" s="372"/>
      <c r="Q75" s="372"/>
      <c r="R75" s="372"/>
      <c r="S75" s="372"/>
      <c r="T75" s="372"/>
      <c r="U75" s="372"/>
      <c r="V75" s="372"/>
      <c r="W75" s="372"/>
      <c r="X75" s="372"/>
      <c r="Y75" s="372"/>
      <c r="Z75" s="372"/>
      <c r="AA75" s="372"/>
      <c r="AB75" s="372"/>
      <c r="AC75" s="372"/>
      <c r="AD75" s="372"/>
      <c r="AE75" s="372"/>
      <c r="AF75" s="372"/>
      <c r="AG75" s="372"/>
      <c r="AH75" s="372"/>
    </row>
    <row r="76" spans="1:34" x14ac:dyDescent="0.2">
      <c r="A76" s="582" t="s">
        <v>501</v>
      </c>
      <c r="B76" s="1196" t="str">
        <f>КАФЕДРА!$D76</f>
        <v>ОиДПО</v>
      </c>
      <c r="C76" s="370">
        <f>IF(LEN(Кадры!$A76)&gt;2,Кадры!$E76,0)</f>
        <v>0</v>
      </c>
      <c r="D76" s="1177">
        <f t="shared" si="5"/>
        <v>0</v>
      </c>
      <c r="E76" s="1177">
        <f t="array" ref="E76">SUM(($G76:$H76)*($G$11:$H$11))</f>
        <v>0</v>
      </c>
      <c r="F76" s="2020">
        <f t="shared" si="1"/>
        <v>0</v>
      </c>
      <c r="G76" s="2030"/>
      <c r="H76" s="1220"/>
      <c r="I76" s="1492"/>
      <c r="J76" s="684"/>
      <c r="K76" s="2043" t="str">
        <f t="shared" si="2"/>
        <v>нет</v>
      </c>
      <c r="L76" s="2053" t="str">
        <f t="shared" si="3"/>
        <v>нет</v>
      </c>
      <c r="M76" s="2053" t="str">
        <f t="shared" si="4"/>
        <v>нет</v>
      </c>
      <c r="N76" s="372"/>
      <c r="O76" s="372"/>
      <c r="P76" s="372"/>
      <c r="Q76" s="372"/>
      <c r="R76" s="372"/>
      <c r="S76" s="372"/>
      <c r="T76" s="372"/>
      <c r="U76" s="372"/>
      <c r="V76" s="372"/>
      <c r="W76" s="372"/>
      <c r="X76" s="372"/>
      <c r="Y76" s="372"/>
      <c r="Z76" s="372"/>
      <c r="AA76" s="372"/>
      <c r="AB76" s="372"/>
      <c r="AC76" s="372"/>
      <c r="AD76" s="372"/>
      <c r="AE76" s="372"/>
      <c r="AF76" s="372"/>
      <c r="AG76" s="372"/>
      <c r="AH76" s="372"/>
    </row>
    <row r="77" spans="1:34" ht="15" thickBot="1" x14ac:dyDescent="0.25">
      <c r="A77" s="1172" t="s">
        <v>502</v>
      </c>
      <c r="B77" s="1168" t="str">
        <f>КАФЕДРА!$D77</f>
        <v>ОиДПО</v>
      </c>
      <c r="C77" s="1174">
        <f>IF(LEN(Кадры!$A76)&gt;2,Кадры!$E77,0)</f>
        <v>0</v>
      </c>
      <c r="D77" s="1175">
        <f t="shared" si="5"/>
        <v>0</v>
      </c>
      <c r="E77" s="1175">
        <f t="array" ref="E77">SUM(($G77:$H77)*($G$11:$H$11))</f>
        <v>0</v>
      </c>
      <c r="F77" s="2022">
        <f t="shared" si="1"/>
        <v>0</v>
      </c>
      <c r="G77" s="2032"/>
      <c r="H77" s="1774"/>
      <c r="I77" s="1770"/>
      <c r="J77" s="683"/>
      <c r="K77" s="2048" t="str">
        <f t="shared" si="2"/>
        <v>нет</v>
      </c>
      <c r="L77" s="2051" t="str">
        <f t="shared" si="3"/>
        <v>нет</v>
      </c>
      <c r="M77" s="2052" t="str">
        <f t="shared" si="4"/>
        <v>нет</v>
      </c>
    </row>
    <row r="78" spans="1:34" x14ac:dyDescent="0.2">
      <c r="A78" s="371"/>
      <c r="B78" s="371"/>
      <c r="C78" s="371"/>
      <c r="D78" s="371"/>
      <c r="E78" s="371"/>
      <c r="F78" s="371"/>
      <c r="G78" s="371"/>
      <c r="H78" s="371"/>
      <c r="I78" s="371"/>
      <c r="J78" s="371"/>
      <c r="K78" s="371"/>
      <c r="L78" s="372"/>
      <c r="M78" s="372"/>
    </row>
  </sheetData>
  <mergeCells count="7">
    <mergeCell ref="L9:M9"/>
    <mergeCell ref="L8:M8"/>
    <mergeCell ref="G9:H9"/>
    <mergeCell ref="G8:H8"/>
    <mergeCell ref="F8:F9"/>
    <mergeCell ref="I9:J9"/>
    <mergeCell ref="I8:J8"/>
  </mergeCells>
  <hyperlinks>
    <hyperlink ref="A6" location="КАФЕДРА!R21C106" display="← на общую страницу"/>
  </hyperlinks>
  <pageMargins left="0.23622047244094491" right="0.23622047244094491" top="0.35433070866141736" bottom="0.35433070866141736" header="0" footer="0"/>
  <pageSetup paperSize="9" scale="52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24</vt:i4>
      </vt:variant>
    </vt:vector>
  </HeadingPairs>
  <TitlesOfParts>
    <vt:vector size="44" baseType="lpstr">
      <vt:lpstr>ТИТУЛ</vt:lpstr>
      <vt:lpstr>КАФЕДРА</vt:lpstr>
      <vt:lpstr>ИНСТИТУТ (СУММА КАФЕДР)</vt:lpstr>
      <vt:lpstr>Кадры</vt:lpstr>
      <vt:lpstr>МероприятияВуза</vt:lpstr>
      <vt:lpstr>ПрофРабота</vt:lpstr>
      <vt:lpstr>ДПО(Финансы)</vt:lpstr>
      <vt:lpstr>ИДО(Финансы)</vt:lpstr>
      <vt:lpstr>НУ(Финансы)</vt:lpstr>
      <vt:lpstr>НУ(Публикации)</vt:lpstr>
      <vt:lpstr>НУ(ВИД3)</vt:lpstr>
      <vt:lpstr>Реестр ППС</vt:lpstr>
      <vt:lpstr>«ВУЗ-РЕГИОН»(кафедры)</vt:lpstr>
      <vt:lpstr> "Вуз зож"</vt:lpstr>
      <vt:lpstr> "Вуз зож" (кафедры)</vt:lpstr>
      <vt:lpstr>ИНСТИТУТ</vt:lpstr>
      <vt:lpstr>+ИНСТИТУТ</vt:lpstr>
      <vt:lpstr>ИНСТИТУТ (КАФЕДРЫ)</vt:lpstr>
      <vt:lpstr>сумма70+30</vt:lpstr>
      <vt:lpstr>ППС</vt:lpstr>
      <vt:lpstr>ДаНет</vt:lpstr>
      <vt:lpstr>Должность</vt:lpstr>
      <vt:lpstr>' "Вуз зож"'!Заголовки_для_печати</vt:lpstr>
      <vt:lpstr>' "Вуз зож" (кафедры)'!Заголовки_для_печати</vt:lpstr>
      <vt:lpstr>'«ВУЗ-РЕГИОН»(кафедры)'!Заголовки_для_печати</vt:lpstr>
      <vt:lpstr>'ДПО(Финансы)'!Заголовки_для_печати</vt:lpstr>
      <vt:lpstr>'ИДО(Финансы)'!Заголовки_для_печати</vt:lpstr>
      <vt:lpstr>ИНСТИТУТ!Заголовки_для_печати</vt:lpstr>
      <vt:lpstr>'ИНСТИТУТ (КАФЕДРЫ)'!Заголовки_для_печати</vt:lpstr>
      <vt:lpstr>'ИНСТИТУТ (СУММА КАФЕДР)'!Заголовки_для_печати</vt:lpstr>
      <vt:lpstr>Кадры!Заголовки_для_печати</vt:lpstr>
      <vt:lpstr>КАФЕДРА!Заголовки_для_печати</vt:lpstr>
      <vt:lpstr>МероприятияВуза!Заголовки_для_печати</vt:lpstr>
      <vt:lpstr>'НУ(ВИД3)'!Заголовки_для_печати</vt:lpstr>
      <vt:lpstr>'НУ(Публикации)'!Заголовки_для_печати</vt:lpstr>
      <vt:lpstr>'НУ(Финансы)'!Заголовки_для_печати</vt:lpstr>
      <vt:lpstr>'Реестр ППС'!Заголовки_для_печати</vt:lpstr>
      <vt:lpstr>нет</vt:lpstr>
      <vt:lpstr>ИНСТИТУТ!Область_печати</vt:lpstr>
      <vt:lpstr>'ИНСТИТУТ (КАФЕДРЫ)'!Область_печати</vt:lpstr>
      <vt:lpstr>'ИНСТИТУТ (СУММА КАФЕДР)'!Область_печати</vt:lpstr>
      <vt:lpstr>КАФЕДРА!Область_печати</vt:lpstr>
      <vt:lpstr>'Реестр ППС'!Область_печати</vt:lpstr>
      <vt:lpstr>ППСшт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isaea</dc:creator>
  <cp:lastModifiedBy>Марина Николаевна Чурилова</cp:lastModifiedBy>
  <cp:lastPrinted>2024-09-02T06:26:14Z</cp:lastPrinted>
  <dcterms:created xsi:type="dcterms:W3CDTF">2006-09-16T00:00:00Z</dcterms:created>
  <dcterms:modified xsi:type="dcterms:W3CDTF">2025-09-29T04:11:51Z</dcterms:modified>
</cp:coreProperties>
</file>